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DC Office\Dropbox\KidZone\Personnel\"/>
    </mc:Choice>
  </mc:AlternateContent>
  <xr:revisionPtr revIDLastSave="0" documentId="13_ncr:1_{879B8C4C-5CB4-4D4E-86A6-3A1E6523CE77}" xr6:coauthVersionLast="47" xr6:coauthVersionMax="47" xr10:uidLastSave="{00000000-0000-0000-0000-000000000000}"/>
  <bookViews>
    <workbookView xWindow="-120" yWindow="-120" windowWidth="29040" windowHeight="15840" xr2:uid="{FEC4D994-2CCD-2243-90D1-5F1BC3647419}"/>
  </bookViews>
  <sheets>
    <sheet name="Planner" sheetId="1" r:id="rId1"/>
    <sheet name="Top Tube" sheetId="13" r:id="rId2"/>
    <sheet name="Plan Chart" sheetId="3" r:id="rId3"/>
    <sheet name="Rider Instructions" sheetId="9" r:id="rId4"/>
    <sheet name="Organizer Instruction" sheetId="5" r:id="rId5"/>
    <sheet name="CtrlTiming" sheetId="12" r:id="rId6"/>
    <sheet name="Plan Chart Data" sheetId="2" r:id="rId7"/>
  </sheets>
  <definedNames>
    <definedName name="_xlnm.Print_Area" localSheetId="5">CtrlTiming!$A$4:$A$29</definedName>
    <definedName name="_xlnm.Print_Area" localSheetId="0">Planner!$A$1:$V$52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C55" i="1"/>
  <c r="D54" i="1"/>
  <c r="C54" i="1"/>
  <c r="D53" i="1"/>
  <c r="C53" i="1"/>
  <c r="D52" i="1"/>
  <c r="C52" i="1"/>
  <c r="A13" i="13"/>
  <c r="A14" i="13"/>
  <c r="G8" i="1"/>
  <c r="G10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6" i="1"/>
  <c r="D35" i="1"/>
  <c r="D37" i="1"/>
  <c r="D39" i="1"/>
  <c r="D41" i="1"/>
  <c r="D43" i="1"/>
  <c r="D33" i="1"/>
  <c r="T29" i="1"/>
  <c r="S29" i="1" s="1"/>
  <c r="V29" i="1"/>
  <c r="U29" i="1" s="1"/>
  <c r="T31" i="1"/>
  <c r="S31" i="1" s="1"/>
  <c r="V31" i="1"/>
  <c r="U31" i="1" s="1"/>
  <c r="G30" i="12"/>
  <c r="H30" i="12" s="1"/>
  <c r="G32" i="12"/>
  <c r="H32" i="12" s="1"/>
  <c r="A31" i="12"/>
  <c r="B31" i="12"/>
  <c r="A33" i="12"/>
  <c r="B33" i="12"/>
  <c r="D9" i="1"/>
  <c r="D11" i="1"/>
  <c r="D13" i="1"/>
  <c r="D15" i="1"/>
  <c r="D17" i="1"/>
  <c r="D19" i="1"/>
  <c r="D21" i="1"/>
  <c r="D23" i="1"/>
  <c r="D25" i="1"/>
  <c r="D27" i="1"/>
  <c r="D29" i="1"/>
  <c r="D31" i="1"/>
  <c r="D7" i="1"/>
  <c r="B9" i="12"/>
  <c r="T33" i="1" l="1"/>
  <c r="T35" i="1"/>
  <c r="T37" i="1"/>
  <c r="T39" i="1"/>
  <c r="T41" i="1"/>
  <c r="T43" i="1"/>
  <c r="V33" i="1"/>
  <c r="V35" i="1"/>
  <c r="V37" i="1"/>
  <c r="V39" i="1"/>
  <c r="V41" i="1"/>
  <c r="V43" i="1"/>
  <c r="G18" i="12"/>
  <c r="H18" i="12" s="1"/>
  <c r="G20" i="12"/>
  <c r="H20" i="12" s="1"/>
  <c r="G22" i="12"/>
  <c r="H22" i="12" s="1"/>
  <c r="G24" i="12"/>
  <c r="G26" i="12"/>
  <c r="G28" i="12"/>
  <c r="H28" i="12" s="1"/>
  <c r="H24" i="12"/>
  <c r="H26" i="12"/>
  <c r="G8" i="12"/>
  <c r="H8" i="12" s="1"/>
  <c r="G10" i="12"/>
  <c r="H10" i="12" s="1"/>
  <c r="G12" i="12"/>
  <c r="H12" i="12" s="1"/>
  <c r="G14" i="12"/>
  <c r="H14" i="12" s="1"/>
  <c r="G16" i="12"/>
  <c r="H16" i="12" s="1"/>
  <c r="E7" i="12"/>
  <c r="F7" i="12" s="1"/>
  <c r="C9" i="12"/>
  <c r="T7" i="1" s="1"/>
  <c r="B11" i="12"/>
  <c r="E11" i="12" s="1"/>
  <c r="V9" i="1" s="1"/>
  <c r="B13" i="12"/>
  <c r="B15" i="12"/>
  <c r="B17" i="12"/>
  <c r="B19" i="12"/>
  <c r="B21" i="12"/>
  <c r="B23" i="12"/>
  <c r="B25" i="12"/>
  <c r="B27" i="12"/>
  <c r="B29" i="12"/>
  <c r="A11" i="12"/>
  <c r="A13" i="12"/>
  <c r="A15" i="12"/>
  <c r="A17" i="12"/>
  <c r="A19" i="12"/>
  <c r="A21" i="12"/>
  <c r="A23" i="12"/>
  <c r="A25" i="12"/>
  <c r="A27" i="12"/>
  <c r="A29" i="12"/>
  <c r="B7" i="12"/>
  <c r="C7" i="12" s="1"/>
  <c r="T5" i="1" s="1"/>
  <c r="L37" i="12"/>
  <c r="L38" i="12" s="1"/>
  <c r="L39" i="12" s="1"/>
  <c r="L40" i="12" s="1"/>
  <c r="L41" i="12" s="1"/>
  <c r="J37" i="12"/>
  <c r="J38" i="12" s="1"/>
  <c r="J39" i="12" s="1"/>
  <c r="J40" i="12" l="1"/>
  <c r="C31" i="12"/>
  <c r="E31" i="12"/>
  <c r="E33" i="12"/>
  <c r="V5" i="1"/>
  <c r="G7" i="12"/>
  <c r="H7" i="12" s="1"/>
  <c r="C27" i="12"/>
  <c r="T25" i="1" s="1"/>
  <c r="C19" i="12"/>
  <c r="T17" i="1" s="1"/>
  <c r="F11" i="12"/>
  <c r="G11" i="12"/>
  <c r="H11" i="12" s="1"/>
  <c r="C21" i="12"/>
  <c r="T19" i="1" s="1"/>
  <c r="C23" i="12"/>
  <c r="C15" i="12"/>
  <c r="T13" i="1" s="1"/>
  <c r="C13" i="12"/>
  <c r="T11" i="1" s="1"/>
  <c r="C25" i="12"/>
  <c r="T23" i="1" s="1"/>
  <c r="E17" i="12"/>
  <c r="F17" i="12" s="1"/>
  <c r="E29" i="12"/>
  <c r="F29" i="12" s="1"/>
  <c r="E21" i="12"/>
  <c r="F21" i="12" s="1"/>
  <c r="E13" i="12"/>
  <c r="F13" i="12" s="1"/>
  <c r="C29" i="12"/>
  <c r="T27" i="1" s="1"/>
  <c r="E27" i="12"/>
  <c r="F27" i="12" s="1"/>
  <c r="E19" i="12"/>
  <c r="F19" i="12" s="1"/>
  <c r="C11" i="12"/>
  <c r="T9" i="1" s="1"/>
  <c r="E25" i="12"/>
  <c r="F25" i="12" s="1"/>
  <c r="E9" i="12"/>
  <c r="F9" i="12" s="1"/>
  <c r="C17" i="12"/>
  <c r="T15" i="1" s="1"/>
  <c r="E23" i="12"/>
  <c r="F23" i="12" s="1"/>
  <c r="E15" i="12"/>
  <c r="F15" i="12" s="1"/>
  <c r="J41" i="12" l="1"/>
  <c r="C33" i="12"/>
  <c r="G33" i="12"/>
  <c r="H33" i="12" s="1"/>
  <c r="F33" i="12"/>
  <c r="F31" i="12"/>
  <c r="H31" i="12"/>
  <c r="G31" i="12"/>
  <c r="V25" i="1"/>
  <c r="G27" i="12"/>
  <c r="H27" i="12" s="1"/>
  <c r="V13" i="1"/>
  <c r="G15" i="12"/>
  <c r="H15" i="12" s="1"/>
  <c r="V23" i="1"/>
  <c r="G25" i="12"/>
  <c r="H25" i="12" s="1"/>
  <c r="V15" i="1"/>
  <c r="G17" i="12"/>
  <c r="H17" i="12" s="1"/>
  <c r="V21" i="1"/>
  <c r="G23" i="12"/>
  <c r="H23" i="12" s="1"/>
  <c r="V11" i="1"/>
  <c r="G13" i="12"/>
  <c r="H13" i="12" s="1"/>
  <c r="V17" i="1"/>
  <c r="G19" i="12"/>
  <c r="H19" i="12" s="1"/>
  <c r="V19" i="1"/>
  <c r="G21" i="12"/>
  <c r="H21" i="12" s="1"/>
  <c r="V7" i="1"/>
  <c r="G9" i="12"/>
  <c r="H9" i="12" s="1"/>
  <c r="V27" i="1"/>
  <c r="G29" i="12"/>
  <c r="H29" i="12" s="1"/>
  <c r="T21" i="1"/>
  <c r="F8" i="1" l="1"/>
  <c r="F10" i="1"/>
  <c r="F12" i="1"/>
  <c r="F14" i="1"/>
  <c r="F16" i="1"/>
  <c r="F18" i="1"/>
  <c r="F20" i="1"/>
  <c r="F22" i="1"/>
  <c r="F24" i="1"/>
  <c r="F26" i="1"/>
  <c r="F6" i="1"/>
  <c r="F28" i="1" l="1"/>
  <c r="F30" i="1"/>
  <c r="E30" i="1" s="1"/>
  <c r="L30" i="1" s="1"/>
  <c r="P45" i="1"/>
  <c r="A2" i="13"/>
  <c r="A3" i="13"/>
  <c r="A4" i="13"/>
  <c r="A5" i="13"/>
  <c r="A6" i="13"/>
  <c r="A7" i="13"/>
  <c r="A8" i="13"/>
  <c r="A9" i="13"/>
  <c r="A10" i="13"/>
  <c r="A11" i="13"/>
  <c r="A12" i="13"/>
  <c r="A9" i="12"/>
  <c r="E6" i="1"/>
  <c r="J8" i="1"/>
  <c r="J10" i="1"/>
  <c r="J12" i="1"/>
  <c r="J14" i="1"/>
  <c r="J16" i="1"/>
  <c r="J18" i="1"/>
  <c r="J20" i="1"/>
  <c r="J22" i="1"/>
  <c r="J24" i="1"/>
  <c r="J26" i="1"/>
  <c r="J28" i="1"/>
  <c r="J30" i="1"/>
  <c r="J32" i="1"/>
  <c r="J34" i="1"/>
  <c r="J36" i="1"/>
  <c r="J38" i="1"/>
  <c r="J40" i="1"/>
  <c r="J42" i="1"/>
  <c r="J6" i="1"/>
  <c r="C5" i="1"/>
  <c r="A3" i="2" s="1"/>
  <c r="E8" i="1"/>
  <c r="E10" i="1"/>
  <c r="E12" i="1"/>
  <c r="E14" i="1"/>
  <c r="L14" i="1" s="1"/>
  <c r="E18" i="1"/>
  <c r="E22" i="1"/>
  <c r="L22" i="1" s="1"/>
  <c r="E24" i="1"/>
  <c r="E26" i="1"/>
  <c r="L26" i="1" s="1"/>
  <c r="W43" i="1"/>
  <c r="A7" i="12"/>
  <c r="O50" i="1"/>
  <c r="I5" i="2" s="1"/>
  <c r="I6" i="2" s="1"/>
  <c r="E20" i="1"/>
  <c r="L20" i="1" s="1"/>
  <c r="E16" i="1"/>
  <c r="L16" i="1" s="1"/>
  <c r="W15" i="1"/>
  <c r="W17" i="1"/>
  <c r="W19" i="1"/>
  <c r="W21" i="1"/>
  <c r="W23" i="1"/>
  <c r="W25" i="1"/>
  <c r="W27" i="1"/>
  <c r="W29" i="1"/>
  <c r="W31" i="1"/>
  <c r="W33" i="1"/>
  <c r="W35" i="1"/>
  <c r="W37" i="1"/>
  <c r="W39" i="1"/>
  <c r="W41" i="1"/>
  <c r="W7" i="1"/>
  <c r="W9" i="1"/>
  <c r="W11" i="1"/>
  <c r="W13" i="1"/>
  <c r="W5" i="1"/>
  <c r="I3" i="2"/>
  <c r="I4" i="2" s="1"/>
  <c r="I2" i="2"/>
  <c r="J2" i="2"/>
  <c r="D3" i="2"/>
  <c r="J15" i="2"/>
  <c r="L18" i="1"/>
  <c r="L24" i="1"/>
  <c r="J5" i="2" l="1"/>
  <c r="J6" i="2" s="1"/>
  <c r="O51" i="1"/>
  <c r="O52" i="1" s="1"/>
  <c r="J9" i="2" s="1"/>
  <c r="J10" i="2" s="1"/>
  <c r="J3" i="2"/>
  <c r="J4" i="2" s="1"/>
  <c r="L12" i="1"/>
  <c r="L8" i="1"/>
  <c r="E28" i="1"/>
  <c r="L10" i="1"/>
  <c r="L6" i="1"/>
  <c r="M7" i="1" s="1"/>
  <c r="H45" i="1"/>
  <c r="M9" i="1" l="1"/>
  <c r="M11" i="1" s="1"/>
  <c r="M13" i="1" s="1"/>
  <c r="M15" i="1" s="1"/>
  <c r="M17" i="1" s="1"/>
  <c r="M19" i="1" s="1"/>
  <c r="M21" i="1" s="1"/>
  <c r="M23" i="1" s="1"/>
  <c r="M25" i="1" s="1"/>
  <c r="M27" i="1" s="1"/>
  <c r="J7" i="2"/>
  <c r="J8" i="2" s="1"/>
  <c r="I9" i="2"/>
  <c r="I10" i="2" s="1"/>
  <c r="I7" i="2"/>
  <c r="I8" i="2" s="1"/>
  <c r="R5" i="1"/>
  <c r="D4" i="2"/>
  <c r="A4" i="2"/>
  <c r="A5" i="2" s="1"/>
  <c r="L28" i="1"/>
  <c r="M29" i="1" l="1"/>
  <c r="M31" i="1" s="1"/>
  <c r="A6" i="2"/>
  <c r="A7" i="2" s="1"/>
  <c r="D5" i="2"/>
  <c r="U17" i="1"/>
  <c r="F9" i="2"/>
  <c r="U19" i="1"/>
  <c r="F10" i="2"/>
  <c r="E15" i="2"/>
  <c r="E19" i="2"/>
  <c r="S37" i="1"/>
  <c r="E6" i="2"/>
  <c r="S11" i="1"/>
  <c r="E16" i="2"/>
  <c r="S19" i="1"/>
  <c r="E10" i="2"/>
  <c r="F6" i="2"/>
  <c r="U11" i="1"/>
  <c r="O7" i="1"/>
  <c r="Q5" i="1"/>
  <c r="B3" i="2"/>
  <c r="E18" i="2"/>
  <c r="S35" i="1"/>
  <c r="F16" i="2"/>
  <c r="U43" i="1"/>
  <c r="F22" i="2"/>
  <c r="U41" i="1"/>
  <c r="F21" i="2"/>
  <c r="E13" i="2"/>
  <c r="S25" i="1"/>
  <c r="S17" i="1"/>
  <c r="E9" i="2"/>
  <c r="E4" i="2"/>
  <c r="S7" i="1"/>
  <c r="F15" i="2"/>
  <c r="S43" i="1"/>
  <c r="E22" i="2"/>
  <c r="U25" i="1"/>
  <c r="F13" i="2"/>
  <c r="E8" i="2"/>
  <c r="S15" i="1"/>
  <c r="U9" i="1"/>
  <c r="F5" i="2"/>
  <c r="U23" i="1"/>
  <c r="F12" i="2"/>
  <c r="U15" i="1"/>
  <c r="F8" i="2"/>
  <c r="E20" i="2"/>
  <c r="S39" i="1"/>
  <c r="F14" i="2"/>
  <c r="U27" i="1"/>
  <c r="U35" i="1"/>
  <c r="F18" i="2"/>
  <c r="E12" i="2"/>
  <c r="S23" i="1"/>
  <c r="U13" i="1"/>
  <c r="F7" i="2"/>
  <c r="F3" i="2"/>
  <c r="U5" i="1"/>
  <c r="U39" i="1"/>
  <c r="F20" i="2"/>
  <c r="U37" i="1"/>
  <c r="F19" i="2"/>
  <c r="S27" i="1"/>
  <c r="E14" i="2"/>
  <c r="F17" i="2"/>
  <c r="U33" i="1"/>
  <c r="S21" i="1"/>
  <c r="E11" i="2"/>
  <c r="E5" i="2"/>
  <c r="S9" i="1"/>
  <c r="E21" i="2"/>
  <c r="S41" i="1"/>
  <c r="S13" i="1"/>
  <c r="E7" i="2"/>
  <c r="S33" i="1"/>
  <c r="E17" i="2"/>
  <c r="F11" i="2"/>
  <c r="U21" i="1"/>
  <c r="U7" i="1"/>
  <c r="F4" i="2"/>
  <c r="E3" i="2"/>
  <c r="S5" i="1"/>
  <c r="C2" i="13" l="1"/>
  <c r="N7" i="1"/>
  <c r="B2" i="13" s="1"/>
  <c r="R7" i="1"/>
  <c r="O9" i="1" s="1"/>
  <c r="N9" i="1" s="1"/>
  <c r="B4" i="2"/>
  <c r="D6" i="2"/>
  <c r="A8" i="2"/>
  <c r="A9" i="2" s="1"/>
  <c r="D7" i="2" l="1"/>
  <c r="A10" i="2"/>
  <c r="A11" i="2" s="1"/>
  <c r="Q7" i="1"/>
  <c r="D2" i="13"/>
  <c r="B5" i="2"/>
  <c r="R9" i="1" l="1"/>
  <c r="O11" i="1" s="1"/>
  <c r="N11" i="1" s="1"/>
  <c r="C3" i="13"/>
  <c r="B3" i="13"/>
  <c r="B6" i="2"/>
  <c r="D8" i="2"/>
  <c r="A12" i="2"/>
  <c r="A13" i="2" s="1"/>
  <c r="D9" i="2" l="1"/>
  <c r="A14" i="2"/>
  <c r="A15" i="2" s="1"/>
  <c r="Q9" i="1"/>
  <c r="D3" i="13"/>
  <c r="B7" i="2"/>
  <c r="C4" i="13" l="1"/>
  <c r="R11" i="1"/>
  <c r="O13" i="1" s="1"/>
  <c r="N13" i="1" s="1"/>
  <c r="B4" i="13"/>
  <c r="B8" i="2"/>
  <c r="D10" i="2"/>
  <c r="A16" i="2"/>
  <c r="A17" i="2" s="1"/>
  <c r="Q11" i="1" l="1"/>
  <c r="D4" i="13"/>
  <c r="B9" i="2"/>
  <c r="D11" i="2"/>
  <c r="A18" i="2"/>
  <c r="A19" i="2" s="1"/>
  <c r="D12" i="2" l="1"/>
  <c r="A20" i="2"/>
  <c r="A21" i="2" s="1"/>
  <c r="B5" i="13"/>
  <c r="R13" i="1"/>
  <c r="O15" i="1" s="1"/>
  <c r="N15" i="1" s="1"/>
  <c r="C5" i="13"/>
  <c r="B10" i="2"/>
  <c r="Q13" i="1" l="1"/>
  <c r="D5" i="13"/>
  <c r="B11" i="2"/>
  <c r="A22" i="2"/>
  <c r="A23" i="2" s="1"/>
  <c r="D13" i="2"/>
  <c r="D14" i="2" l="1"/>
  <c r="A24" i="2"/>
  <c r="A25" i="2" s="1"/>
  <c r="C6" i="13"/>
  <c r="B6" i="13"/>
  <c r="R15" i="1"/>
  <c r="O17" i="1" s="1"/>
  <c r="N17" i="1" s="1"/>
  <c r="B12" i="2"/>
  <c r="A26" i="2" l="1"/>
  <c r="A27" i="2" s="1"/>
  <c r="D15" i="2"/>
  <c r="Q15" i="1"/>
  <c r="D6" i="13"/>
  <c r="B13" i="2"/>
  <c r="R17" i="1" l="1"/>
  <c r="O19" i="1" s="1"/>
  <c r="N19" i="1" s="1"/>
  <c r="C7" i="13"/>
  <c r="B7" i="13"/>
  <c r="B14" i="2"/>
  <c r="A28" i="2"/>
  <c r="A29" i="2" s="1"/>
  <c r="D16" i="2"/>
  <c r="Q17" i="1" l="1"/>
  <c r="D7" i="13"/>
  <c r="B15" i="2"/>
  <c r="C8" i="13" l="1"/>
  <c r="R19" i="1"/>
  <c r="O21" i="1" s="1"/>
  <c r="N21" i="1" s="1"/>
  <c r="B8" i="13"/>
  <c r="B16" i="2"/>
  <c r="Q19" i="1" l="1"/>
  <c r="D8" i="13"/>
  <c r="B17" i="2"/>
  <c r="B9" i="13" l="1"/>
  <c r="R21" i="1"/>
  <c r="O23" i="1" s="1"/>
  <c r="N23" i="1" s="1"/>
  <c r="C9" i="13"/>
  <c r="B18" i="2"/>
  <c r="Q21" i="1" l="1"/>
  <c r="D9" i="13"/>
  <c r="B19" i="2"/>
  <c r="C10" i="13" l="1"/>
  <c r="B10" i="13"/>
  <c r="R23" i="1"/>
  <c r="O25" i="1" s="1"/>
  <c r="N25" i="1" s="1"/>
  <c r="B20" i="2"/>
  <c r="Q23" i="1" l="1"/>
  <c r="D10" i="13"/>
  <c r="B21" i="2"/>
  <c r="R25" i="1" l="1"/>
  <c r="O27" i="1" s="1"/>
  <c r="C13" i="13" s="1"/>
  <c r="C11" i="13"/>
  <c r="B11" i="13"/>
  <c r="B22" i="2"/>
  <c r="N27" i="1" l="1"/>
  <c r="B13" i="13" s="1"/>
  <c r="R27" i="1"/>
  <c r="Q25" i="1"/>
  <c r="D11" i="13"/>
  <c r="B23" i="2"/>
  <c r="Q27" i="1" l="1"/>
  <c r="D13" i="13"/>
  <c r="C12" i="13"/>
  <c r="B12" i="13"/>
  <c r="B24" i="2"/>
  <c r="O29" i="1" l="1"/>
  <c r="D12" i="13"/>
  <c r="B25" i="2"/>
  <c r="R29" i="1" l="1"/>
  <c r="C14" i="13"/>
  <c r="N29" i="1"/>
  <c r="B14" i="13" s="1"/>
  <c r="B26" i="2"/>
  <c r="Q29" i="1" l="1"/>
  <c r="D14" i="13"/>
  <c r="O31" i="1"/>
  <c r="B27" i="2"/>
  <c r="N31" i="1" l="1"/>
  <c r="B28" i="2"/>
  <c r="B29" i="2" l="1"/>
  <c r="B31" i="2" l="1"/>
  <c r="B33" i="2" l="1"/>
  <c r="B35" i="2" l="1"/>
  <c r="B37" i="2" l="1"/>
  <c r="B39" i="2" l="1"/>
  <c r="F40" i="1"/>
  <c r="E40" i="1"/>
  <c r="L40" i="1" s="1"/>
  <c r="O41" i="1" s="1"/>
  <c r="F32" i="1"/>
  <c r="E32" i="1" s="1"/>
  <c r="L32" i="1" s="1"/>
  <c r="M33" i="1" s="1"/>
  <c r="F42" i="1"/>
  <c r="E42" i="1" s="1"/>
  <c r="L42" i="1" s="1"/>
  <c r="O43" i="1" s="1"/>
  <c r="F36" i="1"/>
  <c r="E36" i="1" s="1"/>
  <c r="L36" i="1" s="1"/>
  <c r="O37" i="1" s="1"/>
  <c r="F38" i="1"/>
  <c r="E38" i="1" s="1"/>
  <c r="L38" i="1" s="1"/>
  <c r="O39" i="1" s="1"/>
  <c r="F34" i="1"/>
  <c r="E34" i="1" s="1"/>
  <c r="L34" i="1" s="1"/>
  <c r="O35" i="1" s="1"/>
  <c r="A32" i="2"/>
  <c r="A33" i="2" s="1"/>
  <c r="A36" i="2"/>
  <c r="A37" i="2" s="1"/>
  <c r="D20" i="2"/>
  <c r="D21" i="2"/>
  <c r="A38" i="2"/>
  <c r="A39" i="2" s="1"/>
  <c r="D19" i="2"/>
  <c r="A34" i="2"/>
  <c r="A35" i="2" s="1"/>
  <c r="D17" i="2"/>
  <c r="A30" i="2"/>
  <c r="A31" i="2" s="1"/>
  <c r="A40" i="2"/>
  <c r="D22" i="2"/>
  <c r="D18" i="2"/>
  <c r="M35" i="1" l="1"/>
  <c r="M37" i="1" s="1"/>
  <c r="M39" i="1" s="1"/>
  <c r="M41" i="1" s="1"/>
  <c r="M43" i="1" s="1"/>
  <c r="M45" i="1" s="1"/>
  <c r="B38" i="2"/>
  <c r="N41" i="1"/>
  <c r="B32" i="2"/>
  <c r="N35" i="1"/>
  <c r="O33" i="1"/>
  <c r="B34" i="2"/>
  <c r="N37" i="1"/>
  <c r="N39" i="1"/>
  <c r="B36" i="2"/>
  <c r="B40" i="2"/>
  <c r="N43" i="1"/>
  <c r="B30" i="2" l="1"/>
  <c r="N33" i="1"/>
</calcChain>
</file>

<file path=xl/sharedStrings.xml><?xml version="1.0" encoding="utf-8"?>
<sst xmlns="http://schemas.openxmlformats.org/spreadsheetml/2006/main" count="149" uniqueCount="126">
  <si>
    <t>Control</t>
  </si>
  <si>
    <t>km</t>
  </si>
  <si>
    <t>Elapse</t>
  </si>
  <si>
    <t>mph</t>
  </si>
  <si>
    <t>km/h</t>
  </si>
  <si>
    <t>Depart</t>
  </si>
  <si>
    <t>km per mile</t>
  </si>
  <si>
    <t>miles</t>
  </si>
  <si>
    <t>h:mm</t>
  </si>
  <si>
    <t>hh:mm</t>
  </si>
  <si>
    <t>Informational</t>
  </si>
  <si>
    <t>Event Organizer Conact</t>
  </si>
  <si>
    <t>moonrise</t>
  </si>
  <si>
    <t>sunrise</t>
  </si>
  <si>
    <t>sunset</t>
  </si>
  <si>
    <t>moonset</t>
  </si>
  <si>
    <t>Arrive</t>
  </si>
  <si>
    <t>plan time</t>
  </si>
  <si>
    <t>open</t>
  </si>
  <si>
    <t>close</t>
  </si>
  <si>
    <t>Plan</t>
  </si>
  <si>
    <t>Controls</t>
  </si>
  <si>
    <t>- plan and visualize your ride progress</t>
  </si>
  <si>
    <t>- determine mid-ride times that allow you to meet goals of your choice</t>
  </si>
  <si>
    <t>- define a plan for a group of riders to have a shared set of expectations</t>
  </si>
  <si>
    <t>- coordinate with support</t>
  </si>
  <si>
    <t>Enter Your Data:</t>
  </si>
  <si>
    <t>Shaded Warnings:</t>
  </si>
  <si>
    <r>
      <t xml:space="preserve">turn </t>
    </r>
    <r>
      <rPr>
        <sz val="11"/>
        <rFont val="Calibri"/>
        <family val="2"/>
      </rPr>
      <t>red</t>
    </r>
    <r>
      <rPr>
        <sz val="11"/>
        <color theme="1"/>
        <rFont val="Calibri"/>
        <family val="2"/>
        <scheme val="minor"/>
      </rPr>
      <t xml:space="preserve"> if the arrival is after the control closure;</t>
    </r>
  </si>
  <si>
    <t>turns orange if within 1 hour of closure;</t>
  </si>
  <si>
    <t>turns yellow if within 2 hours of closure.</t>
  </si>
  <si>
    <t>Sunlight and Moonlight:</t>
  </si>
  <si>
    <t>Information on sunrise, sunset, moonrise and moonset are presented for reference.</t>
  </si>
  <si>
    <t>Chart:</t>
  </si>
  <si>
    <t>Credits:</t>
  </si>
  <si>
    <t>Control Open and Close Times:</t>
  </si>
  <si>
    <t>Sun and Moon Times:</t>
  </si>
  <si>
    <t>http://www.usno.navy.mil/</t>
  </si>
  <si>
    <t>The shaded warnings are set to 0, 1 and 2 hours  as described in the rider instructions. The shading is controlled by Conditional Formatting. If you want different thresholds or shading, edit the Conditional Formatting and update the rider instructions.</t>
  </si>
  <si>
    <t>Verification and Debug:</t>
  </si>
  <si>
    <t>Sunrise and sunset are included to indicate when time between controls and at controls is during the day or at night.</t>
  </si>
  <si>
    <t>Audax Club Parisien</t>
  </si>
  <si>
    <t>This planner allows you to plan a ride strategy based on riding speed and time spent off the bike. 
This allows you to:</t>
  </si>
  <si>
    <r>
      <t xml:space="preserve">turn </t>
    </r>
    <r>
      <rPr>
        <sz val="11"/>
        <rFont val="Calibri"/>
        <family val="2"/>
      </rPr>
      <t>red</t>
    </r>
    <r>
      <rPr>
        <sz val="11"/>
        <color theme="1"/>
        <rFont val="Calibri"/>
        <family val="2"/>
        <scheme val="minor"/>
      </rPr>
      <t xml:space="preserve"> if the departure is before the control open.</t>
    </r>
  </si>
  <si>
    <t>timfoonfeldman@gmail.com</t>
  </si>
  <si>
    <t>Inspired by a spreadsheet for Last Chance 2008 by Steve "Bones" Matney, co-director of the 2008 Shenandoah 1200.</t>
  </si>
  <si>
    <t xml:space="preserve"> To get this information you can search the web for a resource. </t>
  </si>
  <si>
    <t>Spreadsheet Support</t>
  </si>
  <si>
    <t>Please contact  spreadsheet support (see rider instructions sheet) for planners for other events.</t>
  </si>
  <si>
    <t>Confirm that the planner behaves as expected.</t>
  </si>
  <si>
    <t>Contact spreadsheet support (see rider instructions sheet) if unexpected behaviors are not easily fixed.</t>
  </si>
  <si>
    <t>Stage time</t>
  </si>
  <si>
    <t>Cum. time</t>
  </si>
  <si>
    <t>www.paris-brest-paris.org</t>
  </si>
  <si>
    <t>The open and close times are based on simple calculations.</t>
  </si>
  <si>
    <t>start time:</t>
  </si>
  <si>
    <t>Close</t>
  </si>
  <si>
    <t>- run what-if scenarios to compare options and establish fallback plans</t>
  </si>
  <si>
    <t>This can be used, for instance, to modify speed at night, and to plan sleep stops.</t>
  </si>
  <si>
    <t>A visualization of the plan as entered is automatically generated on the Plan Chart sheet.</t>
  </si>
  <si>
    <t>This may sometime be moved somewhere on their new public portal:</t>
  </si>
  <si>
    <t>Stage dist*</t>
  </si>
  <si>
    <t>Stage climbing*</t>
  </si>
  <si>
    <t xml:space="preserve">     Bold indicates the raw data.</t>
  </si>
  <si>
    <t>Time not rolling during stage</t>
  </si>
  <si>
    <t>Control arrival times are shaded based on the margin to the control closing time, indicating whether there is a concern about arriving too late.
Control arrival cells:</t>
  </si>
  <si>
    <t>Control departure times are shaded based the margin to the control opening time, indicating whether there is a concern about leaving too early.
Control departure cells:</t>
  </si>
  <si>
    <t>Fougeres at 48°21′N 1°12W is used as a central location for these data.</t>
  </si>
  <si>
    <t>Your control card is the authoritative source of the actual open and close times.</t>
  </si>
  <si>
    <t>Control open and close times are estimated. Actual times may be different.</t>
  </si>
  <si>
    <t>Stage average rolling speed</t>
  </si>
  <si>
    <t>Climbing:</t>
  </si>
  <si>
    <t>Climbing data from the ACP OpenRunner maps is included as a potential influence to average rolling speed for each stage.</t>
  </si>
  <si>
    <t>Quick Guide:</t>
  </si>
  <si>
    <t>On the Planner sheet:</t>
  </si>
  <si>
    <t xml:space="preserve">  Enter your data. See details below.</t>
  </si>
  <si>
    <t xml:space="preserve">  Control arrival and departure shading indicates potential issues.</t>
  </si>
  <si>
    <t>Look at the Plan Chart sheet for a visualization.</t>
  </si>
  <si>
    <t>Control Open</t>
  </si>
  <si>
    <t>Control Close</t>
  </si>
  <si>
    <t>Civil twilight extends about 33 minutes before sunrise and after sunset.</t>
  </si>
  <si>
    <r>
      <t xml:space="preserve">Edit the </t>
    </r>
    <r>
      <rPr>
        <u/>
        <sz val="11"/>
        <color theme="1"/>
        <rFont val="Calibri"/>
        <family val="2"/>
        <scheme val="minor"/>
      </rPr>
      <t>white</t>
    </r>
    <r>
      <rPr>
        <sz val="11"/>
        <color theme="1"/>
        <rFont val="Calibri"/>
        <family val="2"/>
        <scheme val="minor"/>
      </rPr>
      <t xml:space="preserve"> cells on the Planner sheet for Group assignment, on-bike speeds and off-bike durations.</t>
    </r>
  </si>
  <si>
    <t>Not-rolling time is entered for each stage and for each control.</t>
  </si>
  <si>
    <t>Not-rolling time for a stage can represent a planned stop not at a control, or a buffer, for instance to deal with a mechanical issue.</t>
  </si>
  <si>
    <t>hours</t>
  </si>
  <si>
    <t>Riding speed is entered for each stage. Only mph is supported, and not km/h.</t>
  </si>
  <si>
    <t>ft/mi</t>
  </si>
  <si>
    <t>feet</t>
  </si>
  <si>
    <t>off bike</t>
  </si>
  <si>
    <t>on bike</t>
  </si>
  <si>
    <t>arrive</t>
  </si>
  <si>
    <t>depart</t>
  </si>
  <si>
    <t>Louisville</t>
  </si>
  <si>
    <t>Walden</t>
  </si>
  <si>
    <t>Saratoga</t>
  </si>
  <si>
    <t>Laramie</t>
  </si>
  <si>
    <t>Steamboat Springs</t>
  </si>
  <si>
    <t>tbd</t>
  </si>
  <si>
    <t>distance (up to) [km]</t>
  </si>
  <si>
    <t>open (max) pace [km/h]</t>
  </si>
  <si>
    <t>time for full distance, min [hh:mm]</t>
  </si>
  <si>
    <t>close (min) pace [km/h]</t>
  </si>
  <si>
    <t>time for full distance, max [hh:mm]</t>
  </si>
  <si>
    <t>Control open and close time schedule from RUSA</t>
  </si>
  <si>
    <t>rusa.org/octime_rm.html</t>
  </si>
  <si>
    <t>Open</t>
  </si>
  <si>
    <t>days</t>
  </si>
  <si>
    <t>whole days</t>
  </si>
  <si>
    <t>partial hours</t>
  </si>
  <si>
    <t>https://www.sunrisesunset.com/usa/DC/NavalObservatory.asp</t>
  </si>
  <si>
    <t>The U. S. Naval Oceanography's site support any location around the world.</t>
  </si>
  <si>
    <t>The actual open and close times should be updated on the CtrlTime sheet where they represent elapse time from start.</t>
  </si>
  <si>
    <t>This workbook provides a planner for Colorado High Country 2020.</t>
  </si>
  <si>
    <t>*: Stage distances and climbing are from the RideWithGPS planning maps.</t>
  </si>
  <si>
    <t>ft</t>
  </si>
  <si>
    <t>Colorado High Country</t>
  </si>
  <si>
    <t>Day 1</t>
  </si>
  <si>
    <t>Day 2</t>
  </si>
  <si>
    <t>Day 3</t>
  </si>
  <si>
    <t>Day 4</t>
  </si>
  <si>
    <t>Platteville</t>
  </si>
  <si>
    <t>Carter Lake</t>
  </si>
  <si>
    <t>Horsetooth</t>
  </si>
  <si>
    <t>Cameron Pass</t>
  </si>
  <si>
    <t>Yampa</t>
  </si>
  <si>
    <t>Hot Sulphur Springs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</si>
</sst>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"/>
    <numFmt numFmtId="165" formatCode="h:mm;@"/>
    <numFmt numFmtId="166" formatCode="[$-409]m/d/yy\ h:mm\ AM/PM;@"/>
    <numFmt numFmtId="167" formatCode="[h]:mm;@"/>
    <numFmt numFmtId="168" formatCode="0\k"/>
    <numFmt numFmtId="169" formatCode="m/d/yy\ h:mm;@"/>
    <numFmt numFmtId="170" formatCode="dddd"/>
    <numFmt numFmtId="171" formatCode="[$-409]h:mm\ AM/PM;@"/>
    <numFmt numFmtId="172" formatCode="ddd"/>
    <numFmt numFmtId="173" formatCode="ddd\ [$-409]m/d/yy\ h:mm\ AM/PM;@"/>
    <numFmt numFmtId="174" formatCode="0.00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166">
    <xf numFmtId="0" fontId="0" fillId="0" borderId="0" xfId="0"/>
    <xf numFmtId="1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1" applyFont="1" applyAlignment="1" applyProtection="1"/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horizontal="center"/>
    </xf>
    <xf numFmtId="169" fontId="0" fillId="0" borderId="0" xfId="0" applyNumberFormat="1" applyFont="1" applyFill="1" applyAlignment="1">
      <alignment horizontal="center" vertical="center"/>
    </xf>
    <xf numFmtId="16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9" fontId="0" fillId="0" borderId="0" xfId="0" applyNumberFormat="1" applyFill="1"/>
    <xf numFmtId="166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/>
    <xf numFmtId="0" fontId="2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1" applyAlignment="1" applyProtection="1">
      <alignment vertical="top"/>
    </xf>
    <xf numFmtId="0" fontId="6" fillId="0" borderId="0" xfId="1" applyAlignment="1" applyProtection="1">
      <alignment horizontal="left" wrapText="1"/>
    </xf>
    <xf numFmtId="0" fontId="6" fillId="0" borderId="0" xfId="1" applyAlignment="1" applyProtection="1">
      <alignment wrapText="1"/>
    </xf>
    <xf numFmtId="0" fontId="0" fillId="0" borderId="0" xfId="0" applyAlignment="1">
      <alignment vertical="top" wrapText="1"/>
    </xf>
    <xf numFmtId="1" fontId="0" fillId="7" borderId="0" xfId="0" applyNumberFormat="1" applyFont="1" applyFill="1" applyProtection="1"/>
    <xf numFmtId="0" fontId="0" fillId="7" borderId="0" xfId="0" applyFont="1" applyFill="1" applyBorder="1" applyProtection="1"/>
    <xf numFmtId="167" fontId="0" fillId="7" borderId="0" xfId="0" applyNumberFormat="1" applyFont="1" applyFill="1" applyBorder="1" applyProtection="1"/>
    <xf numFmtId="0" fontId="0" fillId="7" borderId="0" xfId="0" applyFill="1" applyBorder="1" applyProtection="1"/>
    <xf numFmtId="0" fontId="0" fillId="7" borderId="0" xfId="0" applyFont="1" applyFill="1" applyProtection="1"/>
    <xf numFmtId="0" fontId="0" fillId="0" borderId="0" xfId="0" applyFont="1" applyProtection="1"/>
    <xf numFmtId="164" fontId="0" fillId="7" borderId="0" xfId="0" applyNumberFormat="1" applyFont="1" applyFill="1" applyBorder="1" applyAlignment="1" applyProtection="1">
      <alignment wrapText="1"/>
    </xf>
    <xf numFmtId="0" fontId="0" fillId="7" borderId="0" xfId="0" applyFill="1" applyBorder="1" applyAlignment="1" applyProtection="1">
      <alignment horizontal="center" wrapText="1"/>
    </xf>
    <xf numFmtId="0" fontId="0" fillId="7" borderId="2" xfId="0" applyFont="1" applyFill="1" applyBorder="1" applyAlignment="1" applyProtection="1">
      <alignment horizontal="center"/>
    </xf>
    <xf numFmtId="1" fontId="0" fillId="7" borderId="2" xfId="0" applyNumberFormat="1" applyFont="1" applyFill="1" applyBorder="1" applyAlignment="1" applyProtection="1">
      <alignment horizontal="center"/>
    </xf>
    <xf numFmtId="164" fontId="0" fillId="7" borderId="2" xfId="0" applyNumberFormat="1" applyFont="1" applyFill="1" applyBorder="1" applyAlignment="1" applyProtection="1">
      <alignment horizontal="center"/>
    </xf>
    <xf numFmtId="167" fontId="0" fillId="7" borderId="2" xfId="0" applyNumberFormat="1" applyFont="1" applyFill="1" applyBorder="1" applyAlignment="1" applyProtection="1">
      <alignment horizontal="center"/>
    </xf>
    <xf numFmtId="0" fontId="0" fillId="7" borderId="2" xfId="0" applyFont="1" applyFill="1" applyBorder="1" applyAlignment="1" applyProtection="1">
      <alignment wrapText="1"/>
    </xf>
    <xf numFmtId="0" fontId="0" fillId="0" borderId="0" xfId="0" applyFont="1" applyAlignment="1" applyProtection="1">
      <alignment horizontal="center"/>
    </xf>
    <xf numFmtId="164" fontId="0" fillId="7" borderId="0" xfId="0" applyNumberFormat="1" applyFont="1" applyFill="1" applyProtection="1"/>
    <xf numFmtId="164" fontId="0" fillId="7" borderId="0" xfId="0" applyNumberFormat="1" applyFont="1" applyFill="1" applyAlignment="1" applyProtection="1"/>
    <xf numFmtId="1" fontId="0" fillId="7" borderId="0" xfId="0" applyNumberFormat="1" applyFont="1" applyFill="1" applyAlignment="1" applyProtection="1">
      <alignment horizontal="center"/>
    </xf>
    <xf numFmtId="166" fontId="0" fillId="7" borderId="0" xfId="0" applyNumberFormat="1" applyFont="1" applyFill="1" applyProtection="1"/>
    <xf numFmtId="1" fontId="0" fillId="0" borderId="0" xfId="0" applyNumberFormat="1" applyFont="1" applyProtection="1"/>
    <xf numFmtId="164" fontId="0" fillId="0" borderId="0" xfId="0" applyNumberFormat="1" applyFont="1" applyProtection="1"/>
    <xf numFmtId="167" fontId="0" fillId="0" borderId="0" xfId="0" applyNumberFormat="1" applyFont="1" applyProtection="1"/>
    <xf numFmtId="1" fontId="0" fillId="7" borderId="0" xfId="0" applyNumberFormat="1" applyFont="1" applyFill="1" applyAlignment="1" applyProtection="1">
      <alignment horizontal="center"/>
    </xf>
    <xf numFmtId="0" fontId="4" fillId="7" borderId="0" xfId="0" applyFont="1" applyFill="1" applyAlignment="1" applyProtection="1">
      <alignment horizontal="center" vertical="center"/>
    </xf>
    <xf numFmtId="0" fontId="0" fillId="7" borderId="0" xfId="0" applyFont="1" applyFill="1" applyAlignment="1" applyProtection="1">
      <alignment horizontal="left"/>
    </xf>
    <xf numFmtId="0" fontId="0" fillId="7" borderId="2" xfId="0" applyFont="1" applyFill="1" applyBorder="1" applyAlignment="1" applyProtection="1"/>
    <xf numFmtId="0" fontId="0" fillId="7" borderId="0" xfId="0" applyFont="1" applyFill="1" applyBorder="1" applyAlignment="1" applyProtection="1">
      <alignment horizontal="center"/>
    </xf>
    <xf numFmtId="168" fontId="0" fillId="7" borderId="0" xfId="0" applyNumberFormat="1" applyFont="1" applyFill="1" applyBorder="1" applyAlignment="1" applyProtection="1">
      <alignment horizontal="center" vertical="center"/>
    </xf>
    <xf numFmtId="168" fontId="0" fillId="7" borderId="0" xfId="0" applyNumberFormat="1" applyFill="1" applyBorder="1" applyAlignment="1" applyProtection="1">
      <alignment horizontal="center" vertical="center" wrapText="1"/>
    </xf>
    <xf numFmtId="168" fontId="0" fillId="7" borderId="0" xfId="0" applyNumberFormat="1" applyFill="1" applyBorder="1" applyAlignment="1" applyProtection="1">
      <alignment vertical="center" wrapText="1"/>
    </xf>
    <xf numFmtId="165" fontId="0" fillId="7" borderId="0" xfId="0" applyNumberFormat="1" applyFont="1" applyFill="1" applyBorder="1" applyAlignment="1" applyProtection="1">
      <alignment horizontal="center" vertical="center"/>
    </xf>
    <xf numFmtId="167" fontId="0" fillId="7" borderId="0" xfId="0" applyNumberFormat="1" applyFont="1" applyFill="1" applyProtection="1"/>
    <xf numFmtId="1" fontId="0" fillId="0" borderId="0" xfId="0" applyNumberFormat="1" applyFont="1" applyFill="1"/>
    <xf numFmtId="0" fontId="0" fillId="0" borderId="0" xfId="0" applyFont="1" applyFill="1"/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7" borderId="0" xfId="0" applyFont="1" applyFill="1" applyBorder="1" applyAlignment="1" applyProtection="1">
      <alignment horizontal="right"/>
    </xf>
    <xf numFmtId="0" fontId="0" fillId="7" borderId="0" xfId="0" applyFont="1" applyFill="1" applyBorder="1" applyAlignment="1" applyProtection="1">
      <alignment horizontal="right" wrapText="1"/>
    </xf>
    <xf numFmtId="0" fontId="0" fillId="7" borderId="2" xfId="0" applyFont="1" applyFill="1" applyBorder="1" applyAlignment="1" applyProtection="1">
      <alignment horizontal="right"/>
    </xf>
    <xf numFmtId="0" fontId="0" fillId="7" borderId="0" xfId="0" applyFont="1" applyFill="1" applyAlignment="1" applyProtection="1">
      <alignment horizontal="right"/>
    </xf>
    <xf numFmtId="0" fontId="4" fillId="7" borderId="0" xfId="0" applyFont="1" applyFill="1" applyAlignment="1" applyProtection="1">
      <alignment horizontal="right" vertical="center"/>
    </xf>
    <xf numFmtId="0" fontId="0" fillId="0" borderId="0" xfId="0" applyFont="1" applyAlignment="1" applyProtection="1">
      <alignment horizontal="right"/>
    </xf>
    <xf numFmtId="0" fontId="0" fillId="0" borderId="0" xfId="0" applyFill="1" applyAlignment="1">
      <alignment horizontal="right"/>
    </xf>
    <xf numFmtId="167" fontId="0" fillId="7" borderId="0" xfId="0" applyNumberFormat="1" applyFont="1" applyFill="1" applyBorder="1" applyAlignment="1" applyProtection="1">
      <alignment horizontal="right"/>
    </xf>
    <xf numFmtId="167" fontId="0" fillId="7" borderId="2" xfId="0" applyNumberFormat="1" applyFont="1" applyFill="1" applyBorder="1" applyAlignment="1" applyProtection="1">
      <alignment horizontal="right"/>
    </xf>
    <xf numFmtId="167" fontId="0" fillId="7" borderId="0" xfId="0" applyNumberFormat="1" applyFont="1" applyFill="1" applyAlignment="1" applyProtection="1">
      <alignment horizontal="right"/>
    </xf>
    <xf numFmtId="167" fontId="0" fillId="7" borderId="0" xfId="0" applyNumberFormat="1" applyFill="1" applyAlignment="1" applyProtection="1">
      <alignment horizontal="right"/>
    </xf>
    <xf numFmtId="167" fontId="0" fillId="0" borderId="0" xfId="0" applyNumberFormat="1" applyFont="1" applyAlignment="1" applyProtection="1">
      <alignment horizontal="right"/>
    </xf>
    <xf numFmtId="0" fontId="0" fillId="7" borderId="2" xfId="0" applyFont="1" applyFill="1" applyBorder="1" applyAlignment="1" applyProtection="1">
      <alignment horizontal="right" wrapText="1"/>
    </xf>
    <xf numFmtId="0" fontId="0" fillId="7" borderId="0" xfId="0" applyFill="1" applyBorder="1" applyAlignment="1" applyProtection="1">
      <alignment horizontal="center" wrapText="1"/>
    </xf>
    <xf numFmtId="0" fontId="0" fillId="7" borderId="0" xfId="0" applyNumberFormat="1" applyFill="1" applyBorder="1" applyAlignment="1" applyProtection="1">
      <alignment horizontal="center" vertical="center" wrapText="1"/>
    </xf>
    <xf numFmtId="0" fontId="0" fillId="7" borderId="2" xfId="0" applyNumberFormat="1" applyFont="1" applyFill="1" applyBorder="1" applyAlignment="1" applyProtection="1">
      <alignment horizontal="center"/>
    </xf>
    <xf numFmtId="0" fontId="0" fillId="7" borderId="0" xfId="0" applyNumberFormat="1" applyFont="1" applyFill="1" applyProtection="1"/>
    <xf numFmtId="0" fontId="0" fillId="7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Protection="1"/>
    <xf numFmtId="0" fontId="0" fillId="0" borderId="0" xfId="0" applyNumberFormat="1" applyFill="1"/>
    <xf numFmtId="0" fontId="0" fillId="7" borderId="0" xfId="0" applyFill="1" applyProtection="1"/>
    <xf numFmtId="171" fontId="0" fillId="2" borderId="0" xfId="0" applyNumberFormat="1" applyFont="1" applyFill="1" applyAlignment="1" applyProtection="1">
      <alignment horizontal="right" vertical="center"/>
    </xf>
    <xf numFmtId="171" fontId="0" fillId="2" borderId="0" xfId="0" applyNumberFormat="1" applyFill="1" applyAlignment="1" applyProtection="1">
      <alignment horizontal="center" vertical="center"/>
    </xf>
    <xf numFmtId="1" fontId="0" fillId="7" borderId="0" xfId="0" applyNumberFormat="1" applyFont="1" applyFill="1" applyAlignment="1" applyProtection="1"/>
    <xf numFmtId="170" fontId="4" fillId="2" borderId="0" xfId="0" applyNumberFormat="1" applyFont="1" applyFill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 wrapText="1"/>
    </xf>
    <xf numFmtId="0" fontId="0" fillId="7" borderId="0" xfId="0" applyFont="1" applyFill="1" applyAlignment="1" applyProtection="1">
      <alignment horizontal="center"/>
    </xf>
    <xf numFmtId="167" fontId="0" fillId="7" borderId="0" xfId="0" applyNumberFormat="1" applyFill="1" applyBorder="1" applyAlignment="1" applyProtection="1">
      <alignment horizontal="center" wrapText="1"/>
    </xf>
    <xf numFmtId="168" fontId="0" fillId="7" borderId="0" xfId="0" applyNumberFormat="1" applyFill="1" applyBorder="1" applyAlignment="1" applyProtection="1">
      <alignment horizontal="right" vertical="center" indent="1"/>
    </xf>
    <xf numFmtId="0" fontId="0" fillId="0" borderId="0" xfId="0" applyAlignment="1">
      <alignment horizontal="left" wrapText="1"/>
    </xf>
    <xf numFmtId="1" fontId="0" fillId="7" borderId="0" xfId="0" applyNumberFormat="1" applyFont="1" applyFill="1" applyAlignment="1" applyProtection="1">
      <alignment horizontal="center" vertical="center"/>
    </xf>
    <xf numFmtId="164" fontId="0" fillId="7" borderId="0" xfId="0" applyNumberFormat="1" applyFont="1" applyFill="1" applyBorder="1" applyAlignment="1" applyProtection="1">
      <alignment horizontal="center" vertical="center"/>
    </xf>
    <xf numFmtId="0" fontId="0" fillId="7" borderId="0" xfId="0" applyFont="1" applyFill="1" applyAlignment="1" applyProtection="1">
      <alignment horizontal="center"/>
    </xf>
    <xf numFmtId="0" fontId="0" fillId="0" borderId="0" xfId="0" applyAlignment="1">
      <alignment horizontal="left" wrapText="1"/>
    </xf>
    <xf numFmtId="174" fontId="0" fillId="2" borderId="0" xfId="0" applyNumberFormat="1" applyFont="1" applyFill="1" applyAlignment="1" applyProtection="1">
      <alignment horizontal="center" vertical="center"/>
    </xf>
    <xf numFmtId="174" fontId="0" fillId="7" borderId="0" xfId="0" applyNumberFormat="1" applyFont="1" applyFill="1" applyAlignment="1" applyProtection="1">
      <alignment horizontal="center"/>
    </xf>
    <xf numFmtId="0" fontId="1" fillId="7" borderId="0" xfId="0" applyFont="1" applyFill="1" applyAlignment="1" applyProtection="1">
      <alignment horizontal="center" vertical="center"/>
    </xf>
    <xf numFmtId="0" fontId="6" fillId="0" borderId="0" xfId="1" applyFill="1" applyAlignment="1" applyProtection="1"/>
    <xf numFmtId="0" fontId="0" fillId="7" borderId="2" xfId="0" quotePrefix="1" applyNumberFormat="1" applyFont="1" applyFill="1" applyBorder="1" applyAlignment="1" applyProtection="1">
      <alignment horizontal="center"/>
    </xf>
    <xf numFmtId="0" fontId="0" fillId="7" borderId="0" xfId="0" applyFont="1" applyFill="1" applyAlignment="1" applyProtection="1">
      <alignment horizontal="center"/>
    </xf>
    <xf numFmtId="0" fontId="1" fillId="0" borderId="0" xfId="1" applyFont="1" applyAlignment="1" applyProtection="1"/>
    <xf numFmtId="0" fontId="0" fillId="7" borderId="0" xfId="0" applyNumberFormat="1" applyFont="1" applyFill="1" applyAlignment="1" applyProtection="1">
      <alignment horizontal="center"/>
    </xf>
    <xf numFmtId="164" fontId="0" fillId="7" borderId="0" xfId="0" applyNumberFormat="1" applyFont="1" applyFill="1" applyAlignment="1" applyProtection="1">
      <alignment horizontal="center"/>
    </xf>
    <xf numFmtId="0" fontId="0" fillId="7" borderId="0" xfId="0" quotePrefix="1" applyFill="1" applyProtection="1"/>
    <xf numFmtId="0" fontId="11" fillId="0" borderId="0" xfId="1" applyFont="1" applyAlignment="1" applyProtection="1"/>
    <xf numFmtId="0" fontId="9" fillId="0" borderId="0" xfId="0" applyFont="1"/>
    <xf numFmtId="0" fontId="0" fillId="7" borderId="0" xfId="0" applyFont="1" applyFill="1" applyAlignment="1" applyProtection="1">
      <alignment horizontal="left" vertical="center"/>
    </xf>
    <xf numFmtId="2" fontId="0" fillId="7" borderId="7" xfId="0" applyNumberFormat="1" applyFont="1" applyFill="1" applyBorder="1" applyAlignment="1" applyProtection="1">
      <alignment horizontal="right" vertical="center" indent="1"/>
      <protection locked="0"/>
    </xf>
    <xf numFmtId="2" fontId="0" fillId="0" borderId="0" xfId="0" applyNumberFormat="1" applyFont="1" applyProtection="1"/>
    <xf numFmtId="0" fontId="12" fillId="7" borderId="0" xfId="0" applyFont="1" applyFill="1" applyBorder="1" applyAlignment="1" applyProtection="1">
      <alignment horizontal="center" vertical="center" wrapText="1"/>
    </xf>
    <xf numFmtId="165" fontId="0" fillId="0" borderId="0" xfId="0" applyNumberFormat="1"/>
    <xf numFmtId="9" fontId="0" fillId="7" borderId="0" xfId="2" applyFont="1" applyFill="1" applyProtection="1"/>
    <xf numFmtId="167" fontId="0" fillId="7" borderId="0" xfId="0" applyNumberFormat="1" applyFill="1" applyAlignment="1" applyProtection="1">
      <alignment horizontal="left"/>
    </xf>
    <xf numFmtId="172" fontId="0" fillId="0" borderId="0" xfId="0" applyNumberFormat="1"/>
    <xf numFmtId="1" fontId="0" fillId="0" borderId="0" xfId="0" applyNumberFormat="1"/>
    <xf numFmtId="0" fontId="0" fillId="7" borderId="0" xfId="0" applyFont="1" applyFill="1" applyAlignment="1" applyProtection="1">
      <alignment horizontal="left" vertical="center"/>
    </xf>
    <xf numFmtId="0" fontId="0" fillId="7" borderId="0" xfId="0" applyFont="1" applyFill="1" applyBorder="1" applyAlignment="1" applyProtection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9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2" fontId="0" fillId="7" borderId="7" xfId="0" quotePrefix="1" applyNumberFormat="1" applyFont="1" applyFill="1" applyBorder="1" applyAlignment="1" applyProtection="1">
      <alignment horizontal="right" vertical="center" indent="1"/>
      <protection locked="0"/>
    </xf>
    <xf numFmtId="0" fontId="0" fillId="7" borderId="0" xfId="0" applyFont="1" applyFill="1" applyBorder="1" applyAlignment="1" applyProtection="1">
      <alignment horizontal="left"/>
    </xf>
    <xf numFmtId="2" fontId="0" fillId="7" borderId="0" xfId="0" applyNumberFormat="1" applyFont="1" applyFill="1" applyBorder="1" applyAlignment="1" applyProtection="1">
      <alignment horizontal="right" vertical="center" indent="1"/>
      <protection locked="0"/>
    </xf>
    <xf numFmtId="171" fontId="0" fillId="2" borderId="0" xfId="0" applyNumberFormat="1" applyFill="1" applyAlignment="1">
      <alignment horizontal="center" vertical="center"/>
    </xf>
    <xf numFmtId="0" fontId="0" fillId="7" borderId="0" xfId="0" applyFont="1" applyFill="1" applyAlignment="1" applyProtection="1">
      <alignment horizontal="left" vertical="center"/>
    </xf>
    <xf numFmtId="0" fontId="9" fillId="7" borderId="0" xfId="0" applyFont="1" applyFill="1" applyAlignment="1" applyProtection="1">
      <alignment vertical="center"/>
    </xf>
    <xf numFmtId="165" fontId="0" fillId="7" borderId="0" xfId="0" applyNumberFormat="1" applyFont="1" applyFill="1" applyAlignment="1" applyProtection="1">
      <alignment horizontal="center" vertical="center"/>
    </xf>
    <xf numFmtId="171" fontId="0" fillId="7" borderId="6" xfId="0" applyNumberFormat="1" applyFont="1" applyFill="1" applyBorder="1" applyAlignment="1" applyProtection="1">
      <alignment horizontal="right" vertical="center" indent="1"/>
    </xf>
    <xf numFmtId="165" fontId="10" fillId="8" borderId="8" xfId="0" applyNumberFormat="1" applyFont="1" applyFill="1" applyBorder="1" applyAlignment="1" applyProtection="1">
      <alignment horizontal="center" vertical="center"/>
      <protection locked="0"/>
    </xf>
    <xf numFmtId="165" fontId="10" fillId="8" borderId="9" xfId="0" applyNumberFormat="1" applyFont="1" applyFill="1" applyBorder="1" applyAlignment="1" applyProtection="1">
      <alignment horizontal="center" vertical="center"/>
      <protection locked="0"/>
    </xf>
    <xf numFmtId="167" fontId="0" fillId="7" borderId="1" xfId="0" applyNumberFormat="1" applyFont="1" applyFill="1" applyBorder="1" applyAlignment="1" applyProtection="1">
      <alignment horizontal="center" vertical="center"/>
    </xf>
    <xf numFmtId="0" fontId="9" fillId="6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9" xfId="0" applyNumberFormat="1" applyFont="1" applyFill="1" applyBorder="1" applyAlignment="1" applyProtection="1">
      <alignment horizontal="center" vertical="center"/>
      <protection locked="0"/>
    </xf>
    <xf numFmtId="164" fontId="9" fillId="7" borderId="1" xfId="0" applyNumberFormat="1" applyFont="1" applyFill="1" applyBorder="1" applyAlignment="1" applyProtection="1">
      <alignment horizontal="center" vertical="center"/>
    </xf>
    <xf numFmtId="1" fontId="0" fillId="7" borderId="0" xfId="0" applyNumberFormat="1" applyFont="1" applyFill="1" applyAlignment="1" applyProtection="1">
      <alignment horizontal="center" vertical="center"/>
    </xf>
    <xf numFmtId="164" fontId="0" fillId="7" borderId="10" xfId="0" applyNumberFormat="1" applyFont="1" applyFill="1" applyBorder="1" applyAlignment="1" applyProtection="1">
      <alignment horizontal="center" vertical="center"/>
    </xf>
    <xf numFmtId="172" fontId="0" fillId="7" borderId="5" xfId="0" applyNumberFormat="1" applyFont="1" applyFill="1" applyBorder="1" applyAlignment="1" applyProtection="1">
      <alignment horizontal="right" vertical="center"/>
    </xf>
    <xf numFmtId="164" fontId="0" fillId="7" borderId="1" xfId="0" applyNumberFormat="1" applyFont="1" applyFill="1" applyBorder="1" applyAlignment="1" applyProtection="1">
      <alignment horizontal="center" vertical="center"/>
    </xf>
    <xf numFmtId="0" fontId="0" fillId="7" borderId="0" xfId="0" applyFont="1" applyFill="1" applyAlignment="1" applyProtection="1">
      <alignment horizontal="center"/>
    </xf>
    <xf numFmtId="171" fontId="0" fillId="7" borderId="11" xfId="0" applyNumberFormat="1" applyFont="1" applyFill="1" applyBorder="1" applyAlignment="1" applyProtection="1">
      <alignment horizontal="right" vertical="center" indent="1"/>
    </xf>
    <xf numFmtId="171" fontId="0" fillId="7" borderId="12" xfId="0" applyNumberFormat="1" applyFont="1" applyFill="1" applyBorder="1" applyAlignment="1" applyProtection="1">
      <alignment horizontal="right" vertical="center" indent="1"/>
    </xf>
    <xf numFmtId="164" fontId="0" fillId="7" borderId="0" xfId="0" applyNumberFormat="1" applyFont="1" applyFill="1" applyAlignment="1" applyProtection="1">
      <alignment horizontal="center" vertical="center"/>
    </xf>
    <xf numFmtId="165" fontId="9" fillId="6" borderId="1" xfId="0" applyNumberFormat="1" applyFont="1" applyFill="1" applyBorder="1" applyAlignment="1" applyProtection="1">
      <alignment horizontal="center" vertical="center"/>
    </xf>
    <xf numFmtId="0" fontId="0" fillId="7" borderId="0" xfId="0" applyFill="1" applyAlignment="1" applyProtection="1">
      <alignment horizontal="left" vertical="center"/>
    </xf>
    <xf numFmtId="0" fontId="0" fillId="7" borderId="0" xfId="0" applyFont="1" applyFill="1" applyAlignment="1" applyProtection="1">
      <alignment horizontal="left" vertical="center"/>
    </xf>
    <xf numFmtId="0" fontId="0" fillId="7" borderId="3" xfId="0" applyFill="1" applyBorder="1" applyAlignment="1" applyProtection="1">
      <alignment horizontal="left" vertical="center"/>
    </xf>
    <xf numFmtId="0" fontId="0" fillId="7" borderId="3" xfId="0" applyFont="1" applyFill="1" applyBorder="1" applyAlignment="1" applyProtection="1">
      <alignment horizontal="left" vertical="center"/>
    </xf>
    <xf numFmtId="172" fontId="0" fillId="7" borderId="5" xfId="0" applyNumberFormat="1" applyFont="1" applyFill="1" applyBorder="1" applyAlignment="1" applyProtection="1">
      <alignment horizontal="right" vertical="center"/>
      <protection locked="0"/>
    </xf>
    <xf numFmtId="1" fontId="0" fillId="7" borderId="0" xfId="0" applyNumberFormat="1" applyFont="1" applyFill="1" applyBorder="1" applyAlignment="1" applyProtection="1">
      <alignment horizontal="center"/>
    </xf>
    <xf numFmtId="1" fontId="0" fillId="7" borderId="0" xfId="0" applyNumberFormat="1" applyFill="1" applyBorder="1" applyAlignment="1" applyProtection="1">
      <alignment horizontal="center" wrapText="1"/>
    </xf>
    <xf numFmtId="1" fontId="0" fillId="7" borderId="0" xfId="0" applyNumberFormat="1" applyFont="1" applyFill="1" applyBorder="1" applyAlignment="1" applyProtection="1">
      <alignment horizontal="center" wrapText="1"/>
    </xf>
    <xf numFmtId="0" fontId="0" fillId="7" borderId="0" xfId="0" applyFill="1" applyBorder="1" applyAlignment="1" applyProtection="1">
      <alignment horizontal="center" wrapText="1"/>
    </xf>
    <xf numFmtId="0" fontId="0" fillId="7" borderId="0" xfId="0" applyFont="1" applyFill="1" applyBorder="1" applyAlignment="1" applyProtection="1">
      <alignment horizontal="center" wrapText="1"/>
    </xf>
    <xf numFmtId="172" fontId="0" fillId="7" borderId="7" xfId="0" applyNumberFormat="1" applyFont="1" applyFill="1" applyBorder="1" applyAlignment="1" applyProtection="1">
      <alignment horizontal="right" vertical="center"/>
      <protection locked="0"/>
    </xf>
    <xf numFmtId="167" fontId="0" fillId="7" borderId="0" xfId="0" applyNumberFormat="1" applyFont="1" applyFill="1" applyAlignment="1" applyProtection="1">
      <alignment horizontal="center"/>
    </xf>
    <xf numFmtId="0" fontId="2" fillId="7" borderId="0" xfId="0" applyFont="1" applyFill="1" applyBorder="1" applyAlignment="1" applyProtection="1">
      <alignment horizontal="center" vertical="center" wrapText="1"/>
    </xf>
    <xf numFmtId="0" fontId="0" fillId="7" borderId="0" xfId="0" applyFill="1" applyAlignment="1" applyProtection="1">
      <alignment horizontal="center"/>
    </xf>
    <xf numFmtId="173" fontId="9" fillId="7" borderId="0" xfId="0" applyNumberFormat="1" applyFont="1" applyFill="1" applyBorder="1" applyAlignment="1" applyProtection="1">
      <alignment horizontal="left" vertical="center"/>
    </xf>
    <xf numFmtId="164" fontId="0" fillId="7" borderId="0" xfId="0" applyNumberFormat="1" applyFill="1" applyBorder="1" applyAlignment="1" applyProtection="1">
      <alignment horizontal="center" wrapText="1"/>
    </xf>
    <xf numFmtId="0" fontId="9" fillId="7" borderId="4" xfId="0" applyFont="1" applyFill="1" applyBorder="1" applyAlignment="1" applyProtection="1">
      <alignment vertical="center"/>
    </xf>
    <xf numFmtId="170" fontId="14" fillId="2" borderId="0" xfId="0" applyNumberFormat="1" applyFont="1" applyFill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8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DCDC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CHC</a:t>
            </a:r>
            <a:r>
              <a:rPr lang="en-US" baseline="0"/>
              <a:t> 2020</a:t>
            </a:r>
            <a:r>
              <a:rPr lang="en-US"/>
              <a:t> Planner</a:t>
            </a:r>
          </a:p>
        </c:rich>
      </c:tx>
      <c:overlay val="1"/>
      <c:spPr>
        <a:solidFill>
          <a:sysClr val="window" lastClr="FFFFFF"/>
        </a:solidFill>
        <a:ln>
          <a:solidFill>
            <a:srgbClr val="1F497D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9.8571741032371027E-2"/>
          <c:y val="3.9162326931355788E-2"/>
          <c:w val="0.85956388589066146"/>
          <c:h val="0.74260709631655775"/>
        </c:manualLayout>
      </c:layout>
      <c:scatterChart>
        <c:scatterStyle val="lineMarker"/>
        <c:varyColors val="0"/>
        <c:ser>
          <c:idx val="2"/>
          <c:order val="0"/>
          <c:tx>
            <c:v>plan</c:v>
          </c:tx>
          <c:marker>
            <c:symbol val="none"/>
          </c:marker>
          <c:xVal>
            <c:numRef>
              <c:f>'Plan Chart Data'!$B$3:$B$28</c:f>
              <c:numCache>
                <c:formatCode>m/d/yy\ h:mm;@</c:formatCode>
                <c:ptCount val="26"/>
                <c:pt idx="0">
                  <c:v>44389.208333333336</c:v>
                </c:pt>
                <c:pt idx="1">
                  <c:v>44389.316071160792</c:v>
                </c:pt>
                <c:pt idx="2">
                  <c:v>44389.316071160792</c:v>
                </c:pt>
                <c:pt idx="3">
                  <c:v>44389.40773759962</c:v>
                </c:pt>
                <c:pt idx="4">
                  <c:v>44389.40773759962</c:v>
                </c:pt>
                <c:pt idx="5">
                  <c:v>44389.45743985704</c:v>
                </c:pt>
                <c:pt idx="6">
                  <c:v>44389.45743985704</c:v>
                </c:pt>
                <c:pt idx="7">
                  <c:v>44389.679165496418</c:v>
                </c:pt>
                <c:pt idx="8">
                  <c:v>44389.679165496418</c:v>
                </c:pt>
                <c:pt idx="9">
                  <c:v>44389.769641462015</c:v>
                </c:pt>
                <c:pt idx="10">
                  <c:v>44389.769641462015</c:v>
                </c:pt>
                <c:pt idx="11">
                  <c:v>44389.966664781838</c:v>
                </c:pt>
                <c:pt idx="12">
                  <c:v>44389.966664781838</c:v>
                </c:pt>
                <c:pt idx="13">
                  <c:v>44390.189580894446</c:v>
                </c:pt>
                <c:pt idx="14">
                  <c:v>44390.189580894446</c:v>
                </c:pt>
                <c:pt idx="15">
                  <c:v>44390.377378046724</c:v>
                </c:pt>
                <c:pt idx="16">
                  <c:v>44390.377378046724</c:v>
                </c:pt>
                <c:pt idx="17">
                  <c:v>44390.544341917448</c:v>
                </c:pt>
                <c:pt idx="18">
                  <c:v>44390.544341917448</c:v>
                </c:pt>
                <c:pt idx="19">
                  <c:v>44390.62707980704</c:v>
                </c:pt>
                <c:pt idx="20">
                  <c:v>44390.62707980704</c:v>
                </c:pt>
                <c:pt idx="21">
                  <c:v>44390.80475793685</c:v>
                </c:pt>
                <c:pt idx="22">
                  <c:v>44390.80475793685</c:v>
                </c:pt>
                <c:pt idx="23">
                  <c:v>44390.985114631432</c:v>
                </c:pt>
                <c:pt idx="24">
                  <c:v>44390.985114631432</c:v>
                </c:pt>
                <c:pt idx="25">
                  <c:v>44391.430649238348</c:v>
                </c:pt>
              </c:numCache>
            </c:numRef>
          </c:xVal>
          <c:yVal>
            <c:numRef>
              <c:f>'Plan Chart Data'!$A$3:$A$28</c:f>
              <c:numCache>
                <c:formatCode>0</c:formatCode>
                <c:ptCount val="26"/>
                <c:pt idx="0">
                  <c:v>0</c:v>
                </c:pt>
                <c:pt idx="1">
                  <c:v>36.200000000000003</c:v>
                </c:pt>
                <c:pt idx="2">
                  <c:v>36.200000000000003</c:v>
                </c:pt>
                <c:pt idx="3">
                  <c:v>67</c:v>
                </c:pt>
                <c:pt idx="4">
                  <c:v>67</c:v>
                </c:pt>
                <c:pt idx="5">
                  <c:v>83.7</c:v>
                </c:pt>
                <c:pt idx="6">
                  <c:v>83.7</c:v>
                </c:pt>
                <c:pt idx="7">
                  <c:v>158.19999999999999</c:v>
                </c:pt>
                <c:pt idx="8">
                  <c:v>158.19999999999999</c:v>
                </c:pt>
                <c:pt idx="9">
                  <c:v>188.6</c:v>
                </c:pt>
                <c:pt idx="10">
                  <c:v>188.6</c:v>
                </c:pt>
                <c:pt idx="11">
                  <c:v>254.8</c:v>
                </c:pt>
                <c:pt idx="12">
                  <c:v>254.8</c:v>
                </c:pt>
                <c:pt idx="13">
                  <c:v>329.7</c:v>
                </c:pt>
                <c:pt idx="14">
                  <c:v>329.7</c:v>
                </c:pt>
                <c:pt idx="15">
                  <c:v>392.8</c:v>
                </c:pt>
                <c:pt idx="16">
                  <c:v>392.8</c:v>
                </c:pt>
                <c:pt idx="17">
                  <c:v>448.9</c:v>
                </c:pt>
                <c:pt idx="18">
                  <c:v>448.9</c:v>
                </c:pt>
                <c:pt idx="19">
                  <c:v>476.7</c:v>
                </c:pt>
                <c:pt idx="20">
                  <c:v>476.7</c:v>
                </c:pt>
                <c:pt idx="21">
                  <c:v>536.4</c:v>
                </c:pt>
                <c:pt idx="22">
                  <c:v>536.4</c:v>
                </c:pt>
                <c:pt idx="23">
                  <c:v>597</c:v>
                </c:pt>
                <c:pt idx="24">
                  <c:v>597</c:v>
                </c:pt>
                <c:pt idx="25">
                  <c:v>746.7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8F-F044-AB4F-57901F5E0DBC}"/>
            </c:ext>
          </c:extLst>
        </c:ser>
        <c:ser>
          <c:idx val="3"/>
          <c:order val="1"/>
          <c:tx>
            <c:v>control open</c:v>
          </c:tx>
          <c:spPr>
            <a:ln>
              <a:prstDash val="sysDot"/>
            </a:ln>
          </c:spPr>
          <c:marker>
            <c:symbol val="plus"/>
            <c:size val="7"/>
          </c:marker>
          <c:xVal>
            <c:numRef>
              <c:f>'Plan Chart Data'!$E$3:$E$16</c:f>
              <c:numCache>
                <c:formatCode>m/d/yy\ h:mm;@</c:formatCode>
                <c:ptCount val="14"/>
                <c:pt idx="0">
                  <c:v>44389.208333333336</c:v>
                </c:pt>
                <c:pt idx="1">
                  <c:v>44389.279728073532</c:v>
                </c:pt>
                <c:pt idx="2">
                  <c:v>44389.340472769611</c:v>
                </c:pt>
                <c:pt idx="3">
                  <c:v>44389.373409017157</c:v>
                </c:pt>
                <c:pt idx="4">
                  <c:v>44389.524521981926</c:v>
                </c:pt>
                <c:pt idx="5">
                  <c:v>44389.588225023595</c:v>
                </c:pt>
                <c:pt idx="6">
                  <c:v>44389.727820028107</c:v>
                </c:pt>
                <c:pt idx="7">
                  <c:v>44389.895236091994</c:v>
                </c:pt>
                <c:pt idx="8">
                  <c:v>44390.039466221759</c:v>
                </c:pt>
                <c:pt idx="9">
                  <c:v>44390.173817373543</c:v>
                </c:pt>
                <c:pt idx="10">
                  <c:v>44390.240394236636</c:v>
                </c:pt>
                <c:pt idx="11">
                  <c:v>44390.383366852708</c:v>
                </c:pt>
                <c:pt idx="12">
                  <c:v>44390.528494834856</c:v>
                </c:pt>
                <c:pt idx="13">
                  <c:v>44390.910091761594</c:v>
                </c:pt>
              </c:numCache>
            </c:numRef>
          </c:xVal>
          <c:yVal>
            <c:numRef>
              <c:f>'Plan Chart Data'!$D$3:$D$16</c:f>
              <c:numCache>
                <c:formatCode>0</c:formatCode>
                <c:ptCount val="14"/>
                <c:pt idx="0">
                  <c:v>0</c:v>
                </c:pt>
                <c:pt idx="1">
                  <c:v>36.200000000000003</c:v>
                </c:pt>
                <c:pt idx="2">
                  <c:v>67</c:v>
                </c:pt>
                <c:pt idx="3">
                  <c:v>83.7</c:v>
                </c:pt>
                <c:pt idx="4">
                  <c:v>158.19999999999999</c:v>
                </c:pt>
                <c:pt idx="5">
                  <c:v>188.6</c:v>
                </c:pt>
                <c:pt idx="6">
                  <c:v>254.8</c:v>
                </c:pt>
                <c:pt idx="7">
                  <c:v>329.7</c:v>
                </c:pt>
                <c:pt idx="8">
                  <c:v>392.8</c:v>
                </c:pt>
                <c:pt idx="9">
                  <c:v>448.9</c:v>
                </c:pt>
                <c:pt idx="10">
                  <c:v>476.7</c:v>
                </c:pt>
                <c:pt idx="11">
                  <c:v>536.4</c:v>
                </c:pt>
                <c:pt idx="12">
                  <c:v>597</c:v>
                </c:pt>
                <c:pt idx="13">
                  <c:v>746.7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8F-F044-AB4F-57901F5E0DBC}"/>
            </c:ext>
          </c:extLst>
        </c:ser>
        <c:ser>
          <c:idx val="4"/>
          <c:order val="2"/>
          <c:tx>
            <c:v>control close</c:v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plus"/>
            <c:size val="7"/>
            <c:spPr>
              <a:noFill/>
              <a:ln>
                <a:solidFill>
                  <a:srgbClr val="C0504D">
                    <a:shade val="95000"/>
                    <a:satMod val="105000"/>
                  </a:srgbClr>
                </a:solidFill>
              </a:ln>
            </c:spPr>
          </c:marker>
          <c:xVal>
            <c:numRef>
              <c:f>'Plan Chart Data'!$F$3:$F$16</c:f>
              <c:numCache>
                <c:formatCode>m/d/yy\ h:mm;@</c:formatCode>
                <c:ptCount val="14"/>
                <c:pt idx="0">
                  <c:v>44389.25</c:v>
                </c:pt>
                <c:pt idx="1">
                  <c:v>44389.370161411112</c:v>
                </c:pt>
                <c:pt idx="2">
                  <c:v>44389.507849388894</c:v>
                </c:pt>
                <c:pt idx="3">
                  <c:v>44389.582504883336</c:v>
                </c:pt>
                <c:pt idx="4">
                  <c:v>44389.915548855555</c:v>
                </c:pt>
                <c:pt idx="5">
                  <c:v>44390.051448677783</c:v>
                </c:pt>
                <c:pt idx="6">
                  <c:v>44390.347388422226</c:v>
                </c:pt>
                <c:pt idx="7">
                  <c:v>44390.682220549999</c:v>
                </c:pt>
                <c:pt idx="8">
                  <c:v>44390.992214852413</c:v>
                </c:pt>
                <c:pt idx="9">
                  <c:v>44391.321391633122</c:v>
                </c:pt>
                <c:pt idx="10">
                  <c:v>44391.48451310378</c:v>
                </c:pt>
                <c:pt idx="11">
                  <c:v>44391.834813528178</c:v>
                </c:pt>
                <c:pt idx="12">
                  <c:v>44392.190394863494</c:v>
                </c:pt>
                <c:pt idx="13">
                  <c:v>44392.963716317652</c:v>
                </c:pt>
              </c:numCache>
            </c:numRef>
          </c:xVal>
          <c:yVal>
            <c:numRef>
              <c:f>'Plan Chart Data'!$D$3:$D$16</c:f>
              <c:numCache>
                <c:formatCode>0</c:formatCode>
                <c:ptCount val="14"/>
                <c:pt idx="0">
                  <c:v>0</c:v>
                </c:pt>
                <c:pt idx="1">
                  <c:v>36.200000000000003</c:v>
                </c:pt>
                <c:pt idx="2">
                  <c:v>67</c:v>
                </c:pt>
                <c:pt idx="3">
                  <c:v>83.7</c:v>
                </c:pt>
                <c:pt idx="4">
                  <c:v>158.19999999999999</c:v>
                </c:pt>
                <c:pt idx="5">
                  <c:v>188.6</c:v>
                </c:pt>
                <c:pt idx="6">
                  <c:v>254.8</c:v>
                </c:pt>
                <c:pt idx="7">
                  <c:v>329.7</c:v>
                </c:pt>
                <c:pt idx="8">
                  <c:v>392.8</c:v>
                </c:pt>
                <c:pt idx="9">
                  <c:v>448.9</c:v>
                </c:pt>
                <c:pt idx="10">
                  <c:v>476.7</c:v>
                </c:pt>
                <c:pt idx="11">
                  <c:v>536.4</c:v>
                </c:pt>
                <c:pt idx="12">
                  <c:v>597</c:v>
                </c:pt>
                <c:pt idx="13">
                  <c:v>746.7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8F-F044-AB4F-57901F5E0DBC}"/>
            </c:ext>
          </c:extLst>
        </c:ser>
        <c:ser>
          <c:idx val="7"/>
          <c:order val="3"/>
          <c:tx>
            <c:v>sunrise</c:v>
          </c:tx>
          <c:spPr>
            <a:ln w="25400">
              <a:solidFill>
                <a:schemeClr val="accent6">
                  <a:alpha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'Plan Chart Data'!$I$3:$I$4</c:f>
              <c:numCache>
                <c:formatCode>m/d/yy\ h:mm;@</c:formatCode>
                <c:ptCount val="2"/>
                <c:pt idx="0">
                  <c:v>44025.238194444442</c:v>
                </c:pt>
                <c:pt idx="1">
                  <c:v>44025.238194444442</c:v>
                </c:pt>
              </c:numCache>
            </c:numRef>
          </c:xVal>
          <c:yVal>
            <c:numRef>
              <c:f>'Plan Chart Data'!$H$3:$H$4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98F-F044-AB4F-57901F5E0DBC}"/>
            </c:ext>
          </c:extLst>
        </c:ser>
        <c:ser>
          <c:idx val="8"/>
          <c:order val="4"/>
          <c:tx>
            <c:v>sunset</c:v>
          </c:tx>
          <c:spPr>
            <a:ln w="25400">
              <a:solidFill>
                <a:schemeClr val="accent1">
                  <a:alpha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'Plan Chart Data'!$J$3:$J$4</c:f>
              <c:numCache>
                <c:formatCode>m/d/yy\ h:mm;@</c:formatCode>
                <c:ptCount val="2"/>
                <c:pt idx="0">
                  <c:v>44025.853472222225</c:v>
                </c:pt>
                <c:pt idx="1">
                  <c:v>44025.853472222225</c:v>
                </c:pt>
              </c:numCache>
            </c:numRef>
          </c:xVal>
          <c:yVal>
            <c:numRef>
              <c:f>'Plan Chart Data'!$H$3:$H$4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98F-F044-AB4F-57901F5E0DBC}"/>
            </c:ext>
          </c:extLst>
        </c:ser>
        <c:ser>
          <c:idx val="9"/>
          <c:order val="5"/>
          <c:tx>
            <c:v/>
          </c:tx>
          <c:spPr>
            <a:ln w="25400">
              <a:solidFill>
                <a:schemeClr val="accent6">
                  <a:alpha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'Plan Chart Data'!$I$5:$I$6</c:f>
              <c:numCache>
                <c:formatCode>m/d/yy\ h:mm;@</c:formatCode>
                <c:ptCount val="2"/>
                <c:pt idx="0">
                  <c:v>44026.238888888889</c:v>
                </c:pt>
                <c:pt idx="1">
                  <c:v>44026.238888888889</c:v>
                </c:pt>
              </c:numCache>
            </c:numRef>
          </c:xVal>
          <c:yVal>
            <c:numRef>
              <c:f>'Plan Chart Data'!$H$5:$H$6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98F-F044-AB4F-57901F5E0DBC}"/>
            </c:ext>
          </c:extLst>
        </c:ser>
        <c:ser>
          <c:idx val="10"/>
          <c:order val="6"/>
          <c:tx>
            <c:v/>
          </c:tx>
          <c:spPr>
            <a:ln w="25400">
              <a:solidFill>
                <a:schemeClr val="accent1">
                  <a:alpha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'Plan Chart Data'!$J$5:$J$6</c:f>
              <c:numCache>
                <c:formatCode>m/d/yy\ h:mm;@</c:formatCode>
                <c:ptCount val="2"/>
                <c:pt idx="0">
                  <c:v>44026.853472222225</c:v>
                </c:pt>
                <c:pt idx="1">
                  <c:v>44026.853472222225</c:v>
                </c:pt>
              </c:numCache>
            </c:numRef>
          </c:xVal>
          <c:yVal>
            <c:numRef>
              <c:f>'Plan Chart Data'!$H$5:$H$6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98F-F044-AB4F-57901F5E0DBC}"/>
            </c:ext>
          </c:extLst>
        </c:ser>
        <c:ser>
          <c:idx val="11"/>
          <c:order val="7"/>
          <c:tx>
            <c:v/>
          </c:tx>
          <c:spPr>
            <a:ln w="25400">
              <a:solidFill>
                <a:schemeClr val="accent6">
                  <a:alpha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'Plan Chart Data'!$I$7:$I$8</c:f>
              <c:numCache>
                <c:formatCode>m/d/yy\ h:mm;@</c:formatCode>
                <c:ptCount val="2"/>
                <c:pt idx="0">
                  <c:v>44027.239583333336</c:v>
                </c:pt>
                <c:pt idx="1">
                  <c:v>44027.239583333336</c:v>
                </c:pt>
              </c:numCache>
            </c:numRef>
          </c:xVal>
          <c:yVal>
            <c:numRef>
              <c:f>'Plan Chart Data'!$H$7:$H$8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98F-F044-AB4F-57901F5E0DBC}"/>
            </c:ext>
          </c:extLst>
        </c:ser>
        <c:ser>
          <c:idx val="12"/>
          <c:order val="8"/>
          <c:tx>
            <c:v/>
          </c:tx>
          <c:spPr>
            <a:ln w="25400">
              <a:solidFill>
                <a:schemeClr val="accent1">
                  <a:alpha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'Plan Chart Data'!$J$7:$J$8</c:f>
              <c:numCache>
                <c:formatCode>m/d/yy\ h:mm;@</c:formatCode>
                <c:ptCount val="2"/>
                <c:pt idx="0">
                  <c:v>44027.852777777778</c:v>
                </c:pt>
                <c:pt idx="1">
                  <c:v>44027.852777777778</c:v>
                </c:pt>
              </c:numCache>
            </c:numRef>
          </c:xVal>
          <c:yVal>
            <c:numRef>
              <c:f>'Plan Chart Data'!$H$7:$H$8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98F-F044-AB4F-57901F5E0DBC}"/>
            </c:ext>
          </c:extLst>
        </c:ser>
        <c:ser>
          <c:idx val="0"/>
          <c:order val="9"/>
          <c:spPr>
            <a:ln w="25400">
              <a:solidFill>
                <a:srgbClr val="F79646">
                  <a:alpha val="50000"/>
                </a:srgbClr>
              </a:solidFill>
              <a:prstDash val="dash"/>
            </a:ln>
          </c:spPr>
          <c:marker>
            <c:symbol val="none"/>
          </c:marker>
          <c:xVal>
            <c:numRef>
              <c:f>'Plan Chart Data'!$I$9:$I$10</c:f>
              <c:numCache>
                <c:formatCode>m/d/yy\ h:mm;@</c:formatCode>
                <c:ptCount val="2"/>
                <c:pt idx="0">
                  <c:v>44028.239583333336</c:v>
                </c:pt>
                <c:pt idx="1">
                  <c:v>44028.239583333336</c:v>
                </c:pt>
              </c:numCache>
            </c:numRef>
          </c:xVal>
          <c:yVal>
            <c:numRef>
              <c:f>'Plan Chart Data'!$H$9:$H$10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98F-F044-AB4F-57901F5E0DBC}"/>
            </c:ext>
          </c:extLst>
        </c:ser>
        <c:ser>
          <c:idx val="1"/>
          <c:order val="10"/>
          <c:spPr>
            <a:ln w="25400">
              <a:solidFill>
                <a:srgbClr val="4F81BD">
                  <a:alpha val="50000"/>
                </a:srgbClr>
              </a:solidFill>
              <a:prstDash val="dash"/>
            </a:ln>
          </c:spPr>
          <c:marker>
            <c:symbol val="none"/>
          </c:marker>
          <c:xVal>
            <c:numRef>
              <c:f>'Plan Chart Data'!$J$9:$J$10</c:f>
              <c:numCache>
                <c:formatCode>m/d/yy\ h:mm;@</c:formatCode>
                <c:ptCount val="2"/>
                <c:pt idx="0">
                  <c:v>44028.852777777778</c:v>
                </c:pt>
                <c:pt idx="1">
                  <c:v>44028.852777777778</c:v>
                </c:pt>
              </c:numCache>
            </c:numRef>
          </c:xVal>
          <c:yVal>
            <c:numRef>
              <c:f>'Plan Chart Data'!$H$9:$H$10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98F-F044-AB4F-57901F5E0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89984"/>
        <c:axId val="72508160"/>
      </c:scatterChart>
      <c:valAx>
        <c:axId val="72489984"/>
        <c:scaling>
          <c:orientation val="minMax"/>
          <c:min val="44025"/>
        </c:scaling>
        <c:delete val="0"/>
        <c:axPos val="b"/>
        <c:numFmt formatCode="ddd\ \ h:mm\ AM/PM;@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508160"/>
        <c:crosses val="autoZero"/>
        <c:crossBetween val="midCat"/>
        <c:majorUnit val="0.25"/>
      </c:valAx>
      <c:valAx>
        <c:axId val="72508160"/>
        <c:scaling>
          <c:orientation val="minMax"/>
          <c:max val="8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Elapse Miles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crossAx val="72489984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0311874147557024"/>
          <c:y val="4.7517181594721854E-2"/>
          <c:w val="0.13271925914921079"/>
          <c:h val="0.11981811381452584"/>
        </c:manualLayout>
      </c:layout>
      <c:overlay val="1"/>
      <c:spPr>
        <a:solidFill>
          <a:sysClr val="window" lastClr="FFFFFF"/>
        </a:solidFill>
        <a:ln>
          <a:solidFill>
            <a:schemeClr val="tx2"/>
          </a:solidFill>
        </a:ln>
      </c:sp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7206" cy="62846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0.47408</cdr:x>
      <cdr:y>0.04004</cdr:y>
    </cdr:from>
    <cdr:to>
      <cdr:x>0.55032</cdr:x>
      <cdr:y>0.78079</cdr:y>
    </cdr:to>
    <cdr:sp macro="" textlink="">
      <cdr:nvSpPr>
        <cdr:cNvPr id="20" name="Rectangle 19"/>
        <cdr:cNvSpPr/>
      </cdr:nvSpPr>
      <cdr:spPr>
        <a:xfrm xmlns:a="http://schemas.openxmlformats.org/drawingml/2006/main">
          <a:off x="4109430" y="251497"/>
          <a:ext cx="660813" cy="46527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0.67539</cdr:x>
      <cdr:y>0.04004</cdr:y>
    </cdr:from>
    <cdr:to>
      <cdr:x>0.75401</cdr:x>
      <cdr:y>0.78079</cdr:y>
    </cdr:to>
    <cdr:sp macro="" textlink="">
      <cdr:nvSpPr>
        <cdr:cNvPr id="21" name="Rectangle 20"/>
        <cdr:cNvSpPr/>
      </cdr:nvSpPr>
      <cdr:spPr>
        <a:xfrm xmlns:a="http://schemas.openxmlformats.org/drawingml/2006/main">
          <a:off x="5854390" y="251497"/>
          <a:ext cx="681464" cy="46527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0.27159</cdr:x>
      <cdr:y>0.04133</cdr:y>
    </cdr:from>
    <cdr:to>
      <cdr:x>0.34782</cdr:x>
      <cdr:y>0.78208</cdr:y>
    </cdr:to>
    <cdr:sp macro="" textlink="">
      <cdr:nvSpPr>
        <cdr:cNvPr id="19" name="Rectangle 18"/>
        <cdr:cNvSpPr/>
      </cdr:nvSpPr>
      <cdr:spPr>
        <a:xfrm xmlns:a="http://schemas.openxmlformats.org/drawingml/2006/main">
          <a:off x="2354145" y="259600"/>
          <a:ext cx="660813" cy="46527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0.87908</cdr:x>
      <cdr:y>0.04004</cdr:y>
    </cdr:from>
    <cdr:to>
      <cdr:x>0.9577</cdr:x>
      <cdr:y>0.78079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7619999" y="251497"/>
          <a:ext cx="681463" cy="46527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0.23942</cdr:x>
      <cdr:y>0.66904</cdr:y>
    </cdr:from>
    <cdr:to>
      <cdr:x>0.32757</cdr:x>
      <cdr:y>0.71178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75366" y="4202357"/>
          <a:ext cx="764065" cy="268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r>
            <a:rPr lang="en-US" sz="1100"/>
            <a:t>LaPorte</a:t>
          </a:r>
        </a:p>
      </cdr:txBody>
    </cdr:sp>
  </cdr:relSizeAnchor>
  <cdr:relSizeAnchor xmlns:cdr="http://schemas.openxmlformats.org/drawingml/2006/chartDrawing">
    <cdr:from>
      <cdr:x>0.85764</cdr:x>
      <cdr:y>0.12132</cdr:y>
    </cdr:from>
    <cdr:to>
      <cdr:x>0.94975</cdr:x>
      <cdr:y>0.15581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434146" y="762000"/>
          <a:ext cx="798442" cy="216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/>
            <a:t>LaPorte</a:t>
          </a:r>
        </a:p>
      </cdr:txBody>
    </cdr:sp>
  </cdr:relSizeAnchor>
  <cdr:relSizeAnchor xmlns:cdr="http://schemas.openxmlformats.org/drawingml/2006/chartDrawing">
    <cdr:from>
      <cdr:x>0.35139</cdr:x>
      <cdr:y>0.5885</cdr:y>
    </cdr:from>
    <cdr:to>
      <cdr:x>0.43359</cdr:x>
      <cdr:y>0.63078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045936" y="3696424"/>
          <a:ext cx="712438" cy="2655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Walden</a:t>
          </a:r>
        </a:p>
      </cdr:txBody>
    </cdr:sp>
  </cdr:relSizeAnchor>
  <cdr:relSizeAnchor xmlns:cdr="http://schemas.openxmlformats.org/drawingml/2006/chartDrawing">
    <cdr:from>
      <cdr:x>0.45383</cdr:x>
      <cdr:y>0.45534</cdr:y>
    </cdr:from>
    <cdr:to>
      <cdr:x>0.53603</cdr:x>
      <cdr:y>0.49808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933902" y="2860082"/>
          <a:ext cx="712439" cy="268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Laramie</a:t>
          </a:r>
        </a:p>
      </cdr:txBody>
    </cdr:sp>
  </cdr:relSizeAnchor>
  <cdr:relSizeAnchor xmlns:cdr="http://schemas.openxmlformats.org/drawingml/2006/chartDrawing">
    <cdr:from>
      <cdr:x>0.59082</cdr:x>
      <cdr:y>0.34356</cdr:y>
    </cdr:from>
    <cdr:to>
      <cdr:x>0.74567</cdr:x>
      <cdr:y>0.38959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121302" y="2157967"/>
          <a:ext cx="1342276" cy="289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Steamboat Springs</a:t>
          </a:r>
        </a:p>
      </cdr:txBody>
    </cdr:sp>
  </cdr:relSizeAnchor>
  <cdr:relSizeAnchor xmlns:cdr="http://schemas.openxmlformats.org/drawingml/2006/chartDrawing">
    <cdr:from>
      <cdr:x>0.55151</cdr:x>
      <cdr:y>0.39452</cdr:y>
    </cdr:from>
    <cdr:to>
      <cdr:x>0.62894</cdr:x>
      <cdr:y>0.44055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780570" y="2478049"/>
          <a:ext cx="671138" cy="289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Walden</a:t>
          </a:r>
        </a:p>
      </cdr:txBody>
    </cdr:sp>
  </cdr:relSizeAnchor>
  <cdr:relSizeAnchor xmlns:cdr="http://schemas.openxmlformats.org/drawingml/2006/chartDrawing">
    <cdr:from>
      <cdr:x>0.76949</cdr:x>
      <cdr:y>0.2137</cdr:y>
    </cdr:from>
    <cdr:to>
      <cdr:x>0.85169</cdr:x>
      <cdr:y>0.25315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670081" y="1342276"/>
          <a:ext cx="712439" cy="247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Walden</a:t>
          </a:r>
        </a:p>
      </cdr:txBody>
    </cdr:sp>
  </cdr:relSizeAnchor>
  <cdr:relSizeAnchor xmlns:cdr="http://schemas.openxmlformats.org/drawingml/2006/chartDrawing">
    <cdr:from>
      <cdr:x>0.1751</cdr:x>
      <cdr:y>0.73151</cdr:y>
    </cdr:from>
    <cdr:to>
      <cdr:x>0.2561</cdr:x>
      <cdr:y>0.77754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1517806" y="4594715"/>
          <a:ext cx="702114" cy="289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/>
            <a:t>Brighton</a:t>
          </a:r>
        </a:p>
      </cdr:txBody>
    </cdr:sp>
  </cdr:relSizeAnchor>
  <cdr:relSizeAnchor xmlns:cdr="http://schemas.openxmlformats.org/drawingml/2006/chartDrawing">
    <cdr:from>
      <cdr:x>0.88345</cdr:x>
      <cdr:y>0.06115</cdr:y>
    </cdr:from>
    <cdr:to>
      <cdr:x>0.98769</cdr:x>
      <cdr:y>0.09896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3CD29C89-4BE1-A547-A1B6-B6626371F8B6}"/>
            </a:ext>
          </a:extLst>
        </cdr:cNvPr>
        <cdr:cNvSpPr txBox="1"/>
      </cdr:nvSpPr>
      <cdr:spPr>
        <a:xfrm xmlns:a="http://schemas.openxmlformats.org/drawingml/2006/main">
          <a:off x="7661793" y="384061"/>
          <a:ext cx="903952" cy="237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/>
            <a:t>Louisville</a:t>
          </a:r>
        </a:p>
      </cdr:txBody>
    </cdr:sp>
  </cdr:relSizeAnchor>
  <cdr:relSizeAnchor xmlns:cdr="http://schemas.openxmlformats.org/drawingml/2006/chartDrawing">
    <cdr:from>
      <cdr:x>0.39428</cdr:x>
      <cdr:y>0.52603</cdr:y>
    </cdr:from>
    <cdr:to>
      <cdr:x>0.48481</cdr:x>
      <cdr:y>0.56877</cdr:y>
    </cdr:to>
    <cdr:sp macro="" textlink="">
      <cdr:nvSpPr>
        <cdr:cNvPr id="40" name="TextBox 1">
          <a:extLst xmlns:a="http://schemas.openxmlformats.org/drawingml/2006/main">
            <a:ext uri="{FF2B5EF4-FFF2-40B4-BE49-F238E27FC236}">
              <a16:creationId xmlns:a16="http://schemas.microsoft.com/office/drawing/2014/main" id="{7BE63C00-6692-E14D-8F34-B2DAC7D10904}"/>
            </a:ext>
          </a:extLst>
        </cdr:cNvPr>
        <cdr:cNvSpPr txBox="1"/>
      </cdr:nvSpPr>
      <cdr:spPr>
        <a:xfrm xmlns:a="http://schemas.openxmlformats.org/drawingml/2006/main">
          <a:off x="3417643" y="3304066"/>
          <a:ext cx="784715" cy="268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Saratoga</a:t>
          </a:r>
        </a:p>
      </cdr:txBody>
    </cdr:sp>
  </cdr:relSizeAnchor>
  <cdr:relSizeAnchor xmlns:cdr="http://schemas.openxmlformats.org/drawingml/2006/chartDrawing">
    <cdr:from>
      <cdr:x>0.66586</cdr:x>
      <cdr:y>0.28517</cdr:y>
    </cdr:from>
    <cdr:to>
      <cdr:x>0.82976</cdr:x>
      <cdr:y>0.31726</cdr:y>
    </cdr:to>
    <cdr:sp macro="" textlink="">
      <cdr:nvSpPr>
        <cdr:cNvPr id="43" name="TextBox 1">
          <a:extLst xmlns:a="http://schemas.openxmlformats.org/drawingml/2006/main">
            <a:ext uri="{FF2B5EF4-FFF2-40B4-BE49-F238E27FC236}">
              <a16:creationId xmlns:a16="http://schemas.microsoft.com/office/drawing/2014/main" id="{2350E994-771F-6C4B-8A08-A2CC61672CEB}"/>
            </a:ext>
          </a:extLst>
        </cdr:cNvPr>
        <cdr:cNvSpPr txBox="1"/>
      </cdr:nvSpPr>
      <cdr:spPr>
        <a:xfrm xmlns:a="http://schemas.openxmlformats.org/drawingml/2006/main">
          <a:off x="5771789" y="1791194"/>
          <a:ext cx="1420681" cy="201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Kremmling</a:t>
          </a:r>
        </a:p>
      </cdr:txBody>
    </cdr:sp>
  </cdr:relSizeAnchor>
  <cdr:relSizeAnchor xmlns:cdr="http://schemas.openxmlformats.org/drawingml/2006/chartDrawing">
    <cdr:from>
      <cdr:x>0.09885</cdr:x>
      <cdr:y>0.04019</cdr:y>
    </cdr:from>
    <cdr:to>
      <cdr:x>0.14563</cdr:x>
      <cdr:y>0.78076</cdr:y>
    </cdr:to>
    <cdr:sp macro="" textlink="">
      <cdr:nvSpPr>
        <cdr:cNvPr id="26" name="Rectangle 25">
          <a:extLst xmlns:a="http://schemas.openxmlformats.org/drawingml/2006/main">
            <a:ext uri="{FF2B5EF4-FFF2-40B4-BE49-F238E27FC236}">
              <a16:creationId xmlns:a16="http://schemas.microsoft.com/office/drawing/2014/main" id="{A5BEADB7-087B-D745-ABF2-6B7CD2FA76A9}"/>
            </a:ext>
          </a:extLst>
        </cdr:cNvPr>
        <cdr:cNvSpPr/>
      </cdr:nvSpPr>
      <cdr:spPr>
        <a:xfrm xmlns:a="http://schemas.openxmlformats.org/drawingml/2006/main">
          <a:off x="856867" y="252470"/>
          <a:ext cx="405482" cy="46515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mfeldman@mindspring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ools.wmflabs.org/geohack/geohack.php?pagename=Foug%C3%A8res&amp;params=48.3525_N_1.1986_W_type:city(20189)_region:FR-BRE" TargetMode="External"/><Relationship Id="rId2" Type="http://schemas.openxmlformats.org/officeDocument/2006/relationships/hyperlink" Target="http://www.paris-brest-paris.org/" TargetMode="External"/><Relationship Id="rId1" Type="http://schemas.openxmlformats.org/officeDocument/2006/relationships/hyperlink" Target="mailto:timfoonfeldman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sno.navy.mil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2"/>
  <sheetViews>
    <sheetView tabSelected="1" zoomScale="80" zoomScaleNormal="80" workbookViewId="0">
      <selection activeCell="C55" sqref="C55:D55"/>
    </sheetView>
  </sheetViews>
  <sheetFormatPr defaultColWidth="9.140625" defaultRowHeight="15" x14ac:dyDescent="0.25"/>
  <cols>
    <col min="1" max="1" width="3.85546875" style="33" customWidth="1"/>
    <col min="2" max="2" width="16.85546875" style="33" customWidth="1"/>
    <col min="3" max="3" width="6.7109375" style="46" bestFit="1" customWidth="1"/>
    <col min="4" max="4" width="7.7109375" style="46" customWidth="1"/>
    <col min="5" max="5" width="6.7109375" style="46" bestFit="1" customWidth="1"/>
    <col min="6" max="6" width="6.28515625" style="82" customWidth="1"/>
    <col min="7" max="7" width="8.85546875" style="82" bestFit="1" customWidth="1"/>
    <col min="8" max="8" width="6.140625" style="82" bestFit="1" customWidth="1"/>
    <col min="9" max="9" width="6.85546875" style="47" customWidth="1"/>
    <col min="10" max="10" width="6.85546875" style="33" customWidth="1"/>
    <col min="11" max="11" width="14.42578125" style="33" customWidth="1"/>
    <col min="12" max="12" width="9.140625" style="33" customWidth="1"/>
    <col min="13" max="13" width="9.140625" style="48" customWidth="1"/>
    <col min="14" max="14" width="8.5703125" style="75" bestFit="1" customWidth="1"/>
    <col min="15" max="15" width="11.42578125" style="33" bestFit="1" customWidth="1"/>
    <col min="16" max="16" width="9" style="33" customWidth="1"/>
    <col min="17" max="17" width="8.7109375" style="69" bestFit="1" customWidth="1"/>
    <col min="18" max="18" width="11.140625" style="33" customWidth="1"/>
    <col min="19" max="19" width="5.5703125" style="69" bestFit="1" customWidth="1"/>
    <col min="20" max="20" width="11.140625" style="33" customWidth="1"/>
    <col min="21" max="21" width="5.7109375" style="33" bestFit="1" customWidth="1"/>
    <col min="22" max="22" width="11.140625" style="33" customWidth="1"/>
    <col min="23" max="23" width="25" style="33" bestFit="1" customWidth="1"/>
    <col min="24" max="16384" width="9.140625" style="33"/>
  </cols>
  <sheetData>
    <row r="1" spans="1:23" ht="15" customHeight="1" x14ac:dyDescent="0.25">
      <c r="A1" s="160" t="s">
        <v>115</v>
      </c>
      <c r="B1" s="160"/>
      <c r="C1" s="54">
        <v>1200</v>
      </c>
      <c r="D1" s="28"/>
      <c r="E1" s="55"/>
      <c r="F1" s="78"/>
      <c r="G1" s="78"/>
      <c r="H1" s="78"/>
      <c r="I1" s="56"/>
      <c r="J1" s="29"/>
      <c r="K1" s="29"/>
      <c r="L1" s="29"/>
      <c r="M1" s="30"/>
      <c r="N1" s="71"/>
      <c r="O1" s="31"/>
      <c r="P1" s="29"/>
      <c r="Q1" s="64"/>
      <c r="R1" s="29"/>
      <c r="S1" s="64"/>
      <c r="T1" s="29"/>
      <c r="U1" s="29"/>
      <c r="V1" s="29"/>
      <c r="W1" s="32"/>
    </row>
    <row r="2" spans="1:23" ht="15" customHeight="1" x14ac:dyDescent="0.25">
      <c r="A2" s="89"/>
      <c r="B2" s="92" t="s">
        <v>55</v>
      </c>
      <c r="C2" s="162">
        <v>44389.208333333336</v>
      </c>
      <c r="D2" s="162"/>
      <c r="E2" s="162"/>
      <c r="F2" s="162"/>
      <c r="G2" s="162"/>
      <c r="H2" s="162"/>
      <c r="I2" s="162"/>
      <c r="J2" s="34"/>
      <c r="K2" s="29"/>
      <c r="L2" s="29"/>
      <c r="M2" s="30"/>
      <c r="N2" s="71"/>
      <c r="O2" s="31"/>
      <c r="P2" s="156"/>
      <c r="Q2" s="65"/>
      <c r="R2" s="29"/>
      <c r="S2" s="64"/>
      <c r="T2" s="29"/>
      <c r="U2" s="29"/>
      <c r="V2" s="29"/>
      <c r="W2" s="32"/>
    </row>
    <row r="3" spans="1:23" ht="30" customHeight="1" x14ac:dyDescent="0.25">
      <c r="A3" s="29"/>
      <c r="B3" s="53" t="s">
        <v>0</v>
      </c>
      <c r="C3" s="153" t="s">
        <v>2</v>
      </c>
      <c r="D3" s="153"/>
      <c r="E3" s="154" t="s">
        <v>61</v>
      </c>
      <c r="F3" s="155"/>
      <c r="G3" s="154" t="s">
        <v>62</v>
      </c>
      <c r="H3" s="155"/>
      <c r="I3" s="163" t="s">
        <v>70</v>
      </c>
      <c r="J3" s="163"/>
      <c r="K3" s="35" t="s">
        <v>64</v>
      </c>
      <c r="L3" s="77" t="s">
        <v>51</v>
      </c>
      <c r="M3" s="91" t="s">
        <v>52</v>
      </c>
      <c r="N3" s="157" t="s">
        <v>16</v>
      </c>
      <c r="O3" s="157"/>
      <c r="P3" s="157"/>
      <c r="Q3" s="157" t="s">
        <v>5</v>
      </c>
      <c r="R3" s="157"/>
      <c r="S3" s="156" t="s">
        <v>78</v>
      </c>
      <c r="T3" s="156"/>
      <c r="U3" s="156" t="s">
        <v>79</v>
      </c>
      <c r="V3" s="156"/>
      <c r="W3" s="32"/>
    </row>
    <row r="4" spans="1:23" s="41" customFormat="1" x14ac:dyDescent="0.25">
      <c r="A4" s="36"/>
      <c r="B4" s="52"/>
      <c r="C4" s="37" t="s">
        <v>7</v>
      </c>
      <c r="D4" s="37" t="s">
        <v>1</v>
      </c>
      <c r="E4" s="37" t="s">
        <v>7</v>
      </c>
      <c r="F4" s="79" t="s">
        <v>1</v>
      </c>
      <c r="G4" s="102" t="s">
        <v>86</v>
      </c>
      <c r="H4" s="79" t="s">
        <v>114</v>
      </c>
      <c r="I4" s="38" t="s">
        <v>3</v>
      </c>
      <c r="J4" s="36" t="s">
        <v>4</v>
      </c>
      <c r="K4" s="37" t="s">
        <v>8</v>
      </c>
      <c r="L4" s="37" t="s">
        <v>8</v>
      </c>
      <c r="M4" s="39" t="s">
        <v>9</v>
      </c>
      <c r="N4" s="72"/>
      <c r="O4" s="40"/>
      <c r="P4" s="36" t="s">
        <v>8</v>
      </c>
      <c r="Q4" s="66"/>
      <c r="R4" s="40"/>
      <c r="S4" s="76"/>
      <c r="T4" s="40"/>
      <c r="U4" s="40"/>
      <c r="V4" s="40"/>
      <c r="W4" s="90"/>
    </row>
    <row r="5" spans="1:23" ht="7.5" customHeight="1" x14ac:dyDescent="0.25">
      <c r="A5" s="143"/>
      <c r="B5" s="130" t="s">
        <v>92</v>
      </c>
      <c r="C5" s="142">
        <f>CONVERT(D5,"km","mi")</f>
        <v>0</v>
      </c>
      <c r="D5" s="138">
        <v>0</v>
      </c>
      <c r="E5" s="28"/>
      <c r="F5" s="80"/>
      <c r="G5" s="80"/>
      <c r="H5" s="80"/>
      <c r="I5" s="42"/>
      <c r="J5" s="32"/>
      <c r="K5" s="32"/>
      <c r="L5" s="32"/>
      <c r="M5" s="159"/>
      <c r="N5" s="73"/>
      <c r="O5" s="143"/>
      <c r="P5" s="143"/>
      <c r="Q5" s="141">
        <f>R5</f>
        <v>44389.208333333336</v>
      </c>
      <c r="R5" s="132">
        <f>C2</f>
        <v>44389.208333333336</v>
      </c>
      <c r="S5" s="158">
        <f>T5</f>
        <v>44389.208333333336</v>
      </c>
      <c r="T5" s="144">
        <f>$C$2+CtrlTiming!C7</f>
        <v>44389.208333333336</v>
      </c>
      <c r="U5" s="141">
        <f>V5</f>
        <v>44389.25</v>
      </c>
      <c r="V5" s="144">
        <f>$C$2+CtrlTiming!E7</f>
        <v>44389.25</v>
      </c>
      <c r="W5" s="150" t="str">
        <f>B5</f>
        <v>Louisville</v>
      </c>
    </row>
    <row r="6" spans="1:23" ht="7.5" customHeight="1" x14ac:dyDescent="0.25">
      <c r="A6" s="143"/>
      <c r="B6" s="130"/>
      <c r="C6" s="142"/>
      <c r="D6" s="138"/>
      <c r="E6" s="139">
        <f>CONVERT(F6,"km","mi")</f>
        <v>36.199910025451373</v>
      </c>
      <c r="F6" s="146">
        <f>D7-D5</f>
        <v>58.258108000000007</v>
      </c>
      <c r="G6" s="139">
        <f>H6/E6</f>
        <v>20.856405429438244</v>
      </c>
      <c r="H6" s="139">
        <v>755</v>
      </c>
      <c r="I6" s="136">
        <v>14</v>
      </c>
      <c r="J6" s="140">
        <f>CONVERT(I6,"mi","km")</f>
        <v>22.530815999999998</v>
      </c>
      <c r="K6" s="147">
        <v>0</v>
      </c>
      <c r="L6" s="131">
        <f>((E6/I6)/24)+K6</f>
        <v>0.10773782745670052</v>
      </c>
      <c r="M6" s="159"/>
      <c r="N6" s="73"/>
      <c r="O6" s="143"/>
      <c r="P6" s="143"/>
      <c r="Q6" s="141"/>
      <c r="R6" s="132"/>
      <c r="S6" s="158"/>
      <c r="T6" s="145"/>
      <c r="U6" s="141"/>
      <c r="V6" s="145"/>
      <c r="W6" s="151"/>
    </row>
    <row r="7" spans="1:23" ht="7.5" customHeight="1" x14ac:dyDescent="0.25">
      <c r="A7" s="161"/>
      <c r="B7" s="130" t="s">
        <v>120</v>
      </c>
      <c r="C7" s="142">
        <v>36.200000000000003</v>
      </c>
      <c r="D7" s="138">
        <f>C7*1.60934</f>
        <v>58.258108000000007</v>
      </c>
      <c r="E7" s="139"/>
      <c r="F7" s="146"/>
      <c r="G7" s="139"/>
      <c r="H7" s="139"/>
      <c r="I7" s="137"/>
      <c r="J7" s="140"/>
      <c r="K7" s="147"/>
      <c r="L7" s="131"/>
      <c r="M7" s="135">
        <f>L6</f>
        <v>0.10773782745670052</v>
      </c>
      <c r="N7" s="141">
        <f>O7</f>
        <v>44389.316071160792</v>
      </c>
      <c r="O7" s="132">
        <f>R5+L6</f>
        <v>44389.316071160792</v>
      </c>
      <c r="P7" s="133">
        <v>0</v>
      </c>
      <c r="Q7" s="141">
        <f t="shared" ref="Q7:Q29" si="0">R7</f>
        <v>44389.316071160792</v>
      </c>
      <c r="R7" s="132">
        <f t="shared" ref="R7:R9" si="1">O7+P7</f>
        <v>44389.316071160792</v>
      </c>
      <c r="S7" s="158">
        <f>T7</f>
        <v>44389.279728073532</v>
      </c>
      <c r="T7" s="144">
        <f>$C$2+CtrlTiming!C9</f>
        <v>44389.279728073532</v>
      </c>
      <c r="U7" s="141">
        <f>V7</f>
        <v>44389.370161411112</v>
      </c>
      <c r="V7" s="144">
        <f>$C$2+CtrlTiming!E9</f>
        <v>44389.370161411112</v>
      </c>
      <c r="W7" s="150" t="str">
        <f>B7</f>
        <v>Platteville</v>
      </c>
    </row>
    <row r="8" spans="1:23" ht="7.5" customHeight="1" x14ac:dyDescent="0.25">
      <c r="A8" s="143"/>
      <c r="B8" s="130"/>
      <c r="C8" s="142"/>
      <c r="D8" s="138"/>
      <c r="E8" s="139">
        <f t="shared" ref="E8" si="2">CONVERT(F8,"km","mi")</f>
        <v>30.799923447069109</v>
      </c>
      <c r="F8" s="146">
        <f>D9-D7</f>
        <v>49.567671999999988</v>
      </c>
      <c r="G8" s="139">
        <f t="shared" ref="G8" si="3">H8/E8</f>
        <v>46.006607855216615</v>
      </c>
      <c r="H8" s="139">
        <v>1417</v>
      </c>
      <c r="I8" s="136">
        <v>14</v>
      </c>
      <c r="J8" s="140">
        <f t="shared" ref="J8" si="4">CONVERT(I8,"mi","km")</f>
        <v>22.530815999999998</v>
      </c>
      <c r="K8" s="147">
        <v>0</v>
      </c>
      <c r="L8" s="131">
        <f>((E8/I8)/24)+K8</f>
        <v>9.1666438830562816E-2</v>
      </c>
      <c r="M8" s="135"/>
      <c r="N8" s="141"/>
      <c r="O8" s="132"/>
      <c r="P8" s="134"/>
      <c r="Q8" s="141"/>
      <c r="R8" s="132"/>
      <c r="S8" s="158"/>
      <c r="T8" s="145"/>
      <c r="U8" s="141"/>
      <c r="V8" s="145"/>
      <c r="W8" s="151"/>
    </row>
    <row r="9" spans="1:23" ht="7.5" customHeight="1" x14ac:dyDescent="0.25">
      <c r="A9" s="143"/>
      <c r="B9" s="130" t="s">
        <v>121</v>
      </c>
      <c r="C9" s="142">
        <v>67</v>
      </c>
      <c r="D9" s="138">
        <f t="shared" ref="D9" si="5">C9*1.60934</f>
        <v>107.82577999999999</v>
      </c>
      <c r="E9" s="139"/>
      <c r="F9" s="146"/>
      <c r="G9" s="139"/>
      <c r="H9" s="139"/>
      <c r="I9" s="137"/>
      <c r="J9" s="140"/>
      <c r="K9" s="147"/>
      <c r="L9" s="131"/>
      <c r="M9" s="135">
        <f>M7+P7+L8</f>
        <v>0.19940426628726332</v>
      </c>
      <c r="N9" s="141">
        <f t="shared" ref="N9" si="6">O9</f>
        <v>44389.40773759962</v>
      </c>
      <c r="O9" s="132">
        <f t="shared" ref="O9" si="7">R7+L8</f>
        <v>44389.40773759962</v>
      </c>
      <c r="P9" s="133">
        <v>0</v>
      </c>
      <c r="Q9" s="141">
        <f t="shared" si="0"/>
        <v>44389.40773759962</v>
      </c>
      <c r="R9" s="132">
        <f t="shared" si="1"/>
        <v>44389.40773759962</v>
      </c>
      <c r="S9" s="158">
        <f>T9</f>
        <v>44389.340472769611</v>
      </c>
      <c r="T9" s="144">
        <f>$C$2+CtrlTiming!C11</f>
        <v>44389.340472769611</v>
      </c>
      <c r="U9" s="141">
        <f>V9</f>
        <v>44389.507849388894</v>
      </c>
      <c r="V9" s="144">
        <f>$C$2+CtrlTiming!E11</f>
        <v>44389.507849388894</v>
      </c>
      <c r="W9" s="150" t="str">
        <f>B9</f>
        <v>Carter Lake</v>
      </c>
    </row>
    <row r="10" spans="1:23" ht="7.5" customHeight="1" x14ac:dyDescent="0.25">
      <c r="A10" s="143"/>
      <c r="B10" s="130"/>
      <c r="C10" s="142"/>
      <c r="D10" s="138"/>
      <c r="E10" s="139">
        <f t="shared" ref="E10" si="8">CONVERT(F10,"km","mi")</f>
        <v>16.69995849240437</v>
      </c>
      <c r="F10" s="146">
        <f>D11-D9</f>
        <v>26.875978000000018</v>
      </c>
      <c r="G10" s="139">
        <f t="shared" ref="G10" si="9">H10/E10</f>
        <v>66.946274178375901</v>
      </c>
      <c r="H10" s="139">
        <v>1118</v>
      </c>
      <c r="I10" s="136">
        <v>14</v>
      </c>
      <c r="J10" s="140">
        <f t="shared" ref="J10" si="10">CONVERT(I10,"mi","km")</f>
        <v>22.530815999999998</v>
      </c>
      <c r="K10" s="147">
        <v>0</v>
      </c>
      <c r="L10" s="131">
        <f>((E10/I10)/24)+K10</f>
        <v>4.9702257417870148E-2</v>
      </c>
      <c r="M10" s="135"/>
      <c r="N10" s="141"/>
      <c r="O10" s="132"/>
      <c r="P10" s="134"/>
      <c r="Q10" s="141"/>
      <c r="R10" s="132"/>
      <c r="S10" s="158"/>
      <c r="T10" s="145"/>
      <c r="U10" s="141"/>
      <c r="V10" s="145"/>
      <c r="W10" s="151"/>
    </row>
    <row r="11" spans="1:23" ht="7.5" customHeight="1" x14ac:dyDescent="0.25">
      <c r="A11" s="161"/>
      <c r="B11" s="130" t="s">
        <v>122</v>
      </c>
      <c r="C11" s="142">
        <v>83.7</v>
      </c>
      <c r="D11" s="138">
        <f t="shared" ref="D11" si="11">C11*1.60934</f>
        <v>134.70175800000001</v>
      </c>
      <c r="E11" s="139"/>
      <c r="F11" s="146"/>
      <c r="G11" s="139"/>
      <c r="H11" s="139"/>
      <c r="I11" s="137"/>
      <c r="J11" s="140"/>
      <c r="K11" s="147"/>
      <c r="L11" s="131"/>
      <c r="M11" s="135">
        <f>M9+P9+L10</f>
        <v>0.24910652370513348</v>
      </c>
      <c r="N11" s="141">
        <f t="shared" ref="N11" si="12">O11</f>
        <v>44389.45743985704</v>
      </c>
      <c r="O11" s="132">
        <f t="shared" ref="O11" si="13">R9+L10</f>
        <v>44389.45743985704</v>
      </c>
      <c r="P11" s="133">
        <v>0</v>
      </c>
      <c r="Q11" s="141">
        <f t="shared" si="0"/>
        <v>44389.45743985704</v>
      </c>
      <c r="R11" s="132">
        <f t="shared" ref="R11" si="14">O11+P11</f>
        <v>44389.45743985704</v>
      </c>
      <c r="S11" s="158">
        <f>T11</f>
        <v>44389.373409017157</v>
      </c>
      <c r="T11" s="144">
        <f>$C$2+CtrlTiming!C13</f>
        <v>44389.373409017157</v>
      </c>
      <c r="U11" s="141">
        <f>V11</f>
        <v>44389.582504883336</v>
      </c>
      <c r="V11" s="144">
        <f>$C$2+CtrlTiming!E13</f>
        <v>44389.582504883336</v>
      </c>
      <c r="W11" s="150" t="str">
        <f>B11</f>
        <v>Horsetooth</v>
      </c>
    </row>
    <row r="12" spans="1:23" ht="7.5" customHeight="1" x14ac:dyDescent="0.25">
      <c r="A12" s="143"/>
      <c r="B12" s="130"/>
      <c r="C12" s="142"/>
      <c r="D12" s="138"/>
      <c r="E12" s="139">
        <f t="shared" ref="E12" si="15">CONVERT(F12,"km","mi")</f>
        <v>74.499814831384683</v>
      </c>
      <c r="F12" s="146">
        <f>D13-D11</f>
        <v>119.89582999999996</v>
      </c>
      <c r="G12" s="139">
        <f t="shared" ref="G12" si="16">H12/E12</f>
        <v>87.449881784879466</v>
      </c>
      <c r="H12" s="139">
        <v>6515</v>
      </c>
      <c r="I12" s="136">
        <v>14</v>
      </c>
      <c r="J12" s="140">
        <f t="shared" ref="J12" si="17">CONVERT(I12,"mi","km")</f>
        <v>22.530815999999998</v>
      </c>
      <c r="K12" s="147">
        <v>0</v>
      </c>
      <c r="L12" s="131">
        <f>((E12/I12)/24)+K12</f>
        <v>0.22172563937912107</v>
      </c>
      <c r="M12" s="135"/>
      <c r="N12" s="141"/>
      <c r="O12" s="132"/>
      <c r="P12" s="134"/>
      <c r="Q12" s="141"/>
      <c r="R12" s="132"/>
      <c r="S12" s="158"/>
      <c r="T12" s="145"/>
      <c r="U12" s="141"/>
      <c r="V12" s="145"/>
      <c r="W12" s="151"/>
    </row>
    <row r="13" spans="1:23" ht="7.5" customHeight="1" x14ac:dyDescent="0.25">
      <c r="A13" s="161"/>
      <c r="B13" s="130" t="s">
        <v>123</v>
      </c>
      <c r="C13" s="142">
        <v>158.19999999999999</v>
      </c>
      <c r="D13" s="138">
        <f t="shared" ref="D13" si="18">C13*1.60934</f>
        <v>254.59758799999997</v>
      </c>
      <c r="E13" s="139"/>
      <c r="F13" s="146"/>
      <c r="G13" s="139"/>
      <c r="H13" s="139"/>
      <c r="I13" s="137"/>
      <c r="J13" s="140"/>
      <c r="K13" s="147"/>
      <c r="L13" s="131"/>
      <c r="M13" s="135">
        <f>M11+P11+L12</f>
        <v>0.47083216308425457</v>
      </c>
      <c r="N13" s="141">
        <f t="shared" ref="N13" si="19">O13</f>
        <v>44389.679165496418</v>
      </c>
      <c r="O13" s="132">
        <f t="shared" ref="O13" si="20">R11+L12</f>
        <v>44389.679165496418</v>
      </c>
      <c r="P13" s="133">
        <v>0</v>
      </c>
      <c r="Q13" s="141">
        <f t="shared" si="0"/>
        <v>44389.679165496418</v>
      </c>
      <c r="R13" s="132">
        <f t="shared" ref="R13" si="21">O13+P13</f>
        <v>44389.679165496418</v>
      </c>
      <c r="S13" s="158">
        <f>T13</f>
        <v>44389.524521981926</v>
      </c>
      <c r="T13" s="144">
        <f>$C$2+CtrlTiming!C15</f>
        <v>44389.524521981926</v>
      </c>
      <c r="U13" s="141">
        <f>V13</f>
        <v>44389.915548855555</v>
      </c>
      <c r="V13" s="144">
        <f>$C$2+CtrlTiming!E15</f>
        <v>44389.915548855555</v>
      </c>
      <c r="W13" s="150" t="str">
        <f>B13</f>
        <v>Cameron Pass</v>
      </c>
    </row>
    <row r="14" spans="1:23" ht="7.5" customHeight="1" x14ac:dyDescent="0.25">
      <c r="A14" s="143"/>
      <c r="B14" s="130"/>
      <c r="C14" s="142"/>
      <c r="D14" s="138"/>
      <c r="E14" s="139">
        <f t="shared" ref="E14" si="22">CONVERT(F14,"km","mi")</f>
        <v>30.399924441263039</v>
      </c>
      <c r="F14" s="146">
        <f>D15-D13</f>
        <v>48.923936000000026</v>
      </c>
      <c r="G14" s="139">
        <f t="shared" ref="G14" si="23">H14/E14</f>
        <v>9.7039714874943783</v>
      </c>
      <c r="H14" s="139">
        <v>295</v>
      </c>
      <c r="I14" s="136">
        <v>14</v>
      </c>
      <c r="J14" s="140">
        <f t="shared" ref="J14" si="24">CONVERT(I14,"mi","km")</f>
        <v>22.530815999999998</v>
      </c>
      <c r="K14" s="147">
        <v>0</v>
      </c>
      <c r="L14" s="131">
        <f>((E14/I14)/24)+K14</f>
        <v>9.0475965598997135E-2</v>
      </c>
      <c r="M14" s="135"/>
      <c r="N14" s="141"/>
      <c r="O14" s="132"/>
      <c r="P14" s="134"/>
      <c r="Q14" s="141"/>
      <c r="R14" s="132"/>
      <c r="S14" s="158"/>
      <c r="T14" s="145"/>
      <c r="U14" s="141"/>
      <c r="V14" s="145"/>
      <c r="W14" s="151"/>
    </row>
    <row r="15" spans="1:23" ht="7.5" customHeight="1" x14ac:dyDescent="0.25">
      <c r="A15" s="161"/>
      <c r="B15" s="164" t="s">
        <v>93</v>
      </c>
      <c r="C15" s="142">
        <v>188.6</v>
      </c>
      <c r="D15" s="138">
        <f t="shared" ref="D15" si="25">C15*1.60934</f>
        <v>303.521524</v>
      </c>
      <c r="E15" s="139"/>
      <c r="F15" s="146"/>
      <c r="G15" s="139"/>
      <c r="H15" s="139"/>
      <c r="I15" s="137"/>
      <c r="J15" s="140"/>
      <c r="K15" s="147"/>
      <c r="L15" s="131"/>
      <c r="M15" s="135">
        <f>M13+P13+L14</f>
        <v>0.56130812868325175</v>
      </c>
      <c r="N15" s="141">
        <f t="shared" ref="N15" si="26">O15</f>
        <v>44389.769641462015</v>
      </c>
      <c r="O15" s="132">
        <f t="shared" ref="O15" si="27">R13+L14</f>
        <v>44389.769641462015</v>
      </c>
      <c r="P15" s="133">
        <v>0</v>
      </c>
      <c r="Q15" s="141">
        <f t="shared" si="0"/>
        <v>44389.769641462015</v>
      </c>
      <c r="R15" s="132">
        <f t="shared" ref="R15" si="28">O15+P15</f>
        <v>44389.769641462015</v>
      </c>
      <c r="S15" s="158">
        <f t="shared" ref="S15" si="29">T15</f>
        <v>44389.588225023595</v>
      </c>
      <c r="T15" s="144">
        <f>$C$2+CtrlTiming!C17</f>
        <v>44389.588225023595</v>
      </c>
      <c r="U15" s="141">
        <f t="shared" ref="U15" si="30">V15</f>
        <v>44390.051448677783</v>
      </c>
      <c r="V15" s="144">
        <f>$C$2+CtrlTiming!E17</f>
        <v>44390.051448677783</v>
      </c>
      <c r="W15" s="150" t="str">
        <f>B15</f>
        <v>Walden</v>
      </c>
    </row>
    <row r="16" spans="1:23" ht="7.5" customHeight="1" x14ac:dyDescent="0.25">
      <c r="A16" s="143"/>
      <c r="B16" s="164"/>
      <c r="C16" s="142"/>
      <c r="D16" s="138"/>
      <c r="E16" s="139">
        <f t="shared" ref="E16" si="31">CONVERT(F16,"km","mi")</f>
        <v>66.199835460908304</v>
      </c>
      <c r="F16" s="146">
        <f>D17-D15</f>
        <v>106.53830800000003</v>
      </c>
      <c r="G16" s="139">
        <f t="shared" ref="G16" si="32">H16/E16</f>
        <v>37.930607871114297</v>
      </c>
      <c r="H16" s="139">
        <v>2511</v>
      </c>
      <c r="I16" s="136">
        <v>14</v>
      </c>
      <c r="J16" s="140">
        <f t="shared" ref="J16" si="33">CONVERT(I16,"mi","km")</f>
        <v>22.530815999999998</v>
      </c>
      <c r="K16" s="147">
        <v>0</v>
      </c>
      <c r="L16" s="131">
        <f>((E16/I16)/24)+K16</f>
        <v>0.19702331982413188</v>
      </c>
      <c r="M16" s="135"/>
      <c r="N16" s="141"/>
      <c r="O16" s="132"/>
      <c r="P16" s="134"/>
      <c r="Q16" s="141"/>
      <c r="R16" s="132"/>
      <c r="S16" s="158"/>
      <c r="T16" s="145"/>
      <c r="U16" s="141"/>
      <c r="V16" s="145"/>
      <c r="W16" s="151"/>
    </row>
    <row r="17" spans="1:23" ht="7.5" customHeight="1" x14ac:dyDescent="0.25">
      <c r="A17" s="161"/>
      <c r="B17" s="130" t="s">
        <v>94</v>
      </c>
      <c r="C17" s="142">
        <v>254.8</v>
      </c>
      <c r="D17" s="138">
        <f t="shared" ref="D17" si="34">C17*1.60934</f>
        <v>410.05983200000003</v>
      </c>
      <c r="E17" s="139"/>
      <c r="F17" s="146"/>
      <c r="G17" s="139"/>
      <c r="H17" s="139"/>
      <c r="I17" s="137"/>
      <c r="J17" s="140"/>
      <c r="K17" s="147"/>
      <c r="L17" s="131"/>
      <c r="M17" s="135">
        <f>M15+P15+L16</f>
        <v>0.75833144850738365</v>
      </c>
      <c r="N17" s="141">
        <f t="shared" ref="N17" si="35">O17</f>
        <v>44389.966664781838</v>
      </c>
      <c r="O17" s="132">
        <f t="shared" ref="O17" si="36">R15+L16</f>
        <v>44389.966664781838</v>
      </c>
      <c r="P17" s="133">
        <v>0</v>
      </c>
      <c r="Q17" s="141">
        <f t="shared" si="0"/>
        <v>44389.966664781838</v>
      </c>
      <c r="R17" s="132">
        <f t="shared" ref="R17" si="37">O17+P17</f>
        <v>44389.966664781838</v>
      </c>
      <c r="S17" s="158">
        <f t="shared" ref="S17" si="38">T17</f>
        <v>44389.727820028107</v>
      </c>
      <c r="T17" s="144">
        <f>$C$2+CtrlTiming!C19</f>
        <v>44389.727820028107</v>
      </c>
      <c r="U17" s="141">
        <f t="shared" ref="U17" si="39">V17</f>
        <v>44390.347388422226</v>
      </c>
      <c r="V17" s="144">
        <f>$C$2+CtrlTiming!E19</f>
        <v>44390.347388422226</v>
      </c>
      <c r="W17" s="150" t="str">
        <f>B17</f>
        <v>Saratoga</v>
      </c>
    </row>
    <row r="18" spans="1:23" ht="7.5" customHeight="1" x14ac:dyDescent="0.25">
      <c r="A18" s="143"/>
      <c r="B18" s="130"/>
      <c r="C18" s="142"/>
      <c r="D18" s="138"/>
      <c r="E18" s="139">
        <f t="shared" ref="E18" si="40">CONVERT(F18,"km","mi")</f>
        <v>74.899813837190763</v>
      </c>
      <c r="F18" s="146">
        <f>D19-D17</f>
        <v>120.53956599999992</v>
      </c>
      <c r="G18" s="139">
        <f t="shared" ref="G18" si="41">H18/E18</f>
        <v>69.265859742684029</v>
      </c>
      <c r="H18" s="139">
        <v>5188</v>
      </c>
      <c r="I18" s="136">
        <v>14</v>
      </c>
      <c r="J18" s="140">
        <f t="shared" ref="J18" si="42">CONVERT(I18,"mi","km")</f>
        <v>22.530815999999998</v>
      </c>
      <c r="K18" s="147">
        <v>0</v>
      </c>
      <c r="L18" s="131">
        <f>((E18/I18)/24)+K18</f>
        <v>0.22291611261068678</v>
      </c>
      <c r="M18" s="135"/>
      <c r="N18" s="141"/>
      <c r="O18" s="132"/>
      <c r="P18" s="134"/>
      <c r="Q18" s="141"/>
      <c r="R18" s="132"/>
      <c r="S18" s="158"/>
      <c r="T18" s="145"/>
      <c r="U18" s="141"/>
      <c r="V18" s="145"/>
      <c r="W18" s="151"/>
    </row>
    <row r="19" spans="1:23" ht="7.5" customHeight="1" x14ac:dyDescent="0.25">
      <c r="A19" s="161"/>
      <c r="B19" s="130" t="s">
        <v>95</v>
      </c>
      <c r="C19" s="142">
        <v>329.7</v>
      </c>
      <c r="D19" s="138">
        <f t="shared" ref="D19" si="43">C19*1.60934</f>
        <v>530.59939799999995</v>
      </c>
      <c r="E19" s="139"/>
      <c r="F19" s="146"/>
      <c r="G19" s="139"/>
      <c r="H19" s="139"/>
      <c r="I19" s="137"/>
      <c r="J19" s="140"/>
      <c r="K19" s="147"/>
      <c r="L19" s="131"/>
      <c r="M19" s="135">
        <f t="shared" ref="M19" si="44">M17+P17+L18</f>
        <v>0.98124756111807043</v>
      </c>
      <c r="N19" s="141">
        <f t="shared" ref="N19" si="45">O19</f>
        <v>44390.189580894446</v>
      </c>
      <c r="O19" s="132">
        <f t="shared" ref="O19" si="46">R17+L18</f>
        <v>44390.189580894446</v>
      </c>
      <c r="P19" s="133">
        <v>0</v>
      </c>
      <c r="Q19" s="141">
        <f t="shared" si="0"/>
        <v>44390.189580894446</v>
      </c>
      <c r="R19" s="132">
        <f t="shared" ref="R19" si="47">O19+P19</f>
        <v>44390.189580894446</v>
      </c>
      <c r="S19" s="158">
        <f t="shared" ref="S19" si="48">T19</f>
        <v>44389.895236091994</v>
      </c>
      <c r="T19" s="144">
        <f>$C$2+CtrlTiming!C21</f>
        <v>44389.895236091994</v>
      </c>
      <c r="U19" s="141">
        <f t="shared" ref="U19" si="49">V19</f>
        <v>44390.682220549999</v>
      </c>
      <c r="V19" s="144">
        <f>$C$2+CtrlTiming!E21</f>
        <v>44390.682220549999</v>
      </c>
      <c r="W19" s="150" t="str">
        <f>B19</f>
        <v>Laramie</v>
      </c>
    </row>
    <row r="20" spans="1:23" ht="7.5" customHeight="1" x14ac:dyDescent="0.25">
      <c r="A20" s="143"/>
      <c r="B20" s="130"/>
      <c r="C20" s="142"/>
      <c r="D20" s="138"/>
      <c r="E20" s="139">
        <f t="shared" ref="E20" si="50">CONVERT(F20,"km","mi")</f>
        <v>63.099843165911146</v>
      </c>
      <c r="F20" s="146">
        <f>D21-D19</f>
        <v>101.54935400000011</v>
      </c>
      <c r="G20" s="139">
        <f t="shared" ref="G20" si="51">H20/E20</f>
        <v>46.244171991483029</v>
      </c>
      <c r="H20" s="139">
        <v>2918</v>
      </c>
      <c r="I20" s="136">
        <v>14</v>
      </c>
      <c r="J20" s="140">
        <f t="shared" ref="J20" si="52">CONVERT(I20,"mi","km")</f>
        <v>22.530815999999998</v>
      </c>
      <c r="K20" s="147">
        <v>0</v>
      </c>
      <c r="L20" s="131">
        <f>((E20/I20)/24)+K20</f>
        <v>0.18779715227949745</v>
      </c>
      <c r="M20" s="135"/>
      <c r="N20" s="141"/>
      <c r="O20" s="132"/>
      <c r="P20" s="134"/>
      <c r="Q20" s="141"/>
      <c r="R20" s="132"/>
      <c r="S20" s="158"/>
      <c r="T20" s="145"/>
      <c r="U20" s="141"/>
      <c r="V20" s="145"/>
      <c r="W20" s="151"/>
    </row>
    <row r="21" spans="1:23" ht="7.5" customHeight="1" x14ac:dyDescent="0.25">
      <c r="A21" s="161"/>
      <c r="B21" s="130" t="s">
        <v>93</v>
      </c>
      <c r="C21" s="142">
        <v>392.8</v>
      </c>
      <c r="D21" s="138">
        <f t="shared" ref="D21" si="53">C21*1.60934</f>
        <v>632.14875200000006</v>
      </c>
      <c r="E21" s="139"/>
      <c r="F21" s="146"/>
      <c r="G21" s="139"/>
      <c r="H21" s="139"/>
      <c r="I21" s="137"/>
      <c r="J21" s="140"/>
      <c r="K21" s="147"/>
      <c r="L21" s="131"/>
      <c r="M21" s="135">
        <f t="shared" ref="M21" si="54">M19+P19+L20</f>
        <v>1.1690447133975679</v>
      </c>
      <c r="N21" s="141">
        <f t="shared" ref="N21" si="55">O21</f>
        <v>44390.377378046724</v>
      </c>
      <c r="O21" s="132">
        <f t="shared" ref="O21" si="56">R19+L20</f>
        <v>44390.377378046724</v>
      </c>
      <c r="P21" s="133">
        <v>0</v>
      </c>
      <c r="Q21" s="141">
        <f t="shared" si="0"/>
        <v>44390.377378046724</v>
      </c>
      <c r="R21" s="132">
        <f t="shared" ref="R21" si="57">O21+P21</f>
        <v>44390.377378046724</v>
      </c>
      <c r="S21" s="158">
        <f t="shared" ref="S21" si="58">T21</f>
        <v>44390.039466221759</v>
      </c>
      <c r="T21" s="144">
        <f>$C$2+CtrlTiming!C23</f>
        <v>44390.039466221759</v>
      </c>
      <c r="U21" s="141">
        <f t="shared" ref="U21" si="59">V21</f>
        <v>44390.992214852413</v>
      </c>
      <c r="V21" s="144">
        <f>$C$2+CtrlTiming!E23</f>
        <v>44390.992214852413</v>
      </c>
      <c r="W21" s="150" t="str">
        <f>B21</f>
        <v>Walden</v>
      </c>
    </row>
    <row r="22" spans="1:23" ht="7.5" customHeight="1" x14ac:dyDescent="0.25">
      <c r="A22" s="143"/>
      <c r="B22" s="130"/>
      <c r="C22" s="142"/>
      <c r="D22" s="138"/>
      <c r="E22" s="139">
        <f t="shared" ref="E22" si="60">CONVERT(F22,"km","mi")</f>
        <v>56.099860564304421</v>
      </c>
      <c r="F22" s="146">
        <f>D23-D21</f>
        <v>90.283973999999944</v>
      </c>
      <c r="G22" s="139">
        <f t="shared" ref="G22" si="61">H22/E22</f>
        <v>51.836135968051245</v>
      </c>
      <c r="H22" s="139">
        <v>2908</v>
      </c>
      <c r="I22" s="136">
        <v>14</v>
      </c>
      <c r="J22" s="140">
        <f t="shared" ref="J22" si="62">CONVERT(I22,"mi","km")</f>
        <v>22.530815999999998</v>
      </c>
      <c r="K22" s="147">
        <v>0</v>
      </c>
      <c r="L22" s="131">
        <f>((E22/I22)/24)+K22</f>
        <v>0.16696387072709651</v>
      </c>
      <c r="M22" s="135"/>
      <c r="N22" s="141"/>
      <c r="O22" s="132"/>
      <c r="P22" s="134"/>
      <c r="Q22" s="141"/>
      <c r="R22" s="132"/>
      <c r="S22" s="158"/>
      <c r="T22" s="145"/>
      <c r="U22" s="141"/>
      <c r="V22" s="145"/>
      <c r="W22" s="151"/>
    </row>
    <row r="23" spans="1:23" ht="7.5" customHeight="1" x14ac:dyDescent="0.25">
      <c r="A23" s="161"/>
      <c r="B23" s="130" t="s">
        <v>96</v>
      </c>
      <c r="C23" s="142">
        <v>448.9</v>
      </c>
      <c r="D23" s="138">
        <f t="shared" ref="D23" si="63">C23*1.60934</f>
        <v>722.432726</v>
      </c>
      <c r="E23" s="139"/>
      <c r="F23" s="146"/>
      <c r="G23" s="139"/>
      <c r="H23" s="139"/>
      <c r="I23" s="137"/>
      <c r="J23" s="140"/>
      <c r="K23" s="147"/>
      <c r="L23" s="131"/>
      <c r="M23" s="135">
        <f t="shared" ref="M23" si="64">M21+P21+L22</f>
        <v>1.3360085841246643</v>
      </c>
      <c r="N23" s="141">
        <f t="shared" ref="N23" si="65">O23</f>
        <v>44390.544341917448</v>
      </c>
      <c r="O23" s="132">
        <f t="shared" ref="O23" si="66">R21+L22</f>
        <v>44390.544341917448</v>
      </c>
      <c r="P23" s="133">
        <v>0</v>
      </c>
      <c r="Q23" s="141">
        <f t="shared" si="0"/>
        <v>44390.544341917448</v>
      </c>
      <c r="R23" s="132">
        <f t="shared" ref="R23" si="67">O23+P23</f>
        <v>44390.544341917448</v>
      </c>
      <c r="S23" s="158">
        <f t="shared" ref="S23" si="68">T23</f>
        <v>44390.173817373543</v>
      </c>
      <c r="T23" s="144">
        <f>$C$2+CtrlTiming!C25</f>
        <v>44390.173817373543</v>
      </c>
      <c r="U23" s="141">
        <f t="shared" ref="U23" si="69">V23</f>
        <v>44391.321391633122</v>
      </c>
      <c r="V23" s="144">
        <f>$C$2+CtrlTiming!E25</f>
        <v>44391.321391633122</v>
      </c>
      <c r="W23" s="150" t="str">
        <f>B23</f>
        <v>Steamboat Springs</v>
      </c>
    </row>
    <row r="24" spans="1:23" ht="7.5" customHeight="1" x14ac:dyDescent="0.25">
      <c r="A24" s="143"/>
      <c r="B24" s="130"/>
      <c r="C24" s="142"/>
      <c r="D24" s="138"/>
      <c r="E24" s="139">
        <f t="shared" ref="E24" si="70">CONVERT(F24,"km","mi")</f>
        <v>27.799930903523411</v>
      </c>
      <c r="F24" s="146">
        <f>D25-D23</f>
        <v>44.739651999999978</v>
      </c>
      <c r="G24" s="139">
        <f t="shared" ref="G24" si="71">H24/E24</f>
        <v>61.978571312982076</v>
      </c>
      <c r="H24" s="139">
        <v>1723</v>
      </c>
      <c r="I24" s="136">
        <v>14</v>
      </c>
      <c r="J24" s="140">
        <f t="shared" ref="J24" si="72">CONVERT(I24,"mi","km")</f>
        <v>22.530815999999998</v>
      </c>
      <c r="K24" s="147">
        <v>0</v>
      </c>
      <c r="L24" s="131">
        <f>((E24/I24)/24)+K24</f>
        <v>8.2737889593819683E-2</v>
      </c>
      <c r="M24" s="135"/>
      <c r="N24" s="141"/>
      <c r="O24" s="132"/>
      <c r="P24" s="134"/>
      <c r="Q24" s="141"/>
      <c r="R24" s="132"/>
      <c r="S24" s="158"/>
      <c r="T24" s="145"/>
      <c r="U24" s="141"/>
      <c r="V24" s="145"/>
      <c r="W24" s="151"/>
    </row>
    <row r="25" spans="1:23" ht="7.5" customHeight="1" x14ac:dyDescent="0.25">
      <c r="A25" s="161"/>
      <c r="B25" s="130" t="s">
        <v>124</v>
      </c>
      <c r="C25" s="142">
        <v>476.7</v>
      </c>
      <c r="D25" s="138">
        <f t="shared" ref="D25" si="73">C25*1.60934</f>
        <v>767.17237799999998</v>
      </c>
      <c r="E25" s="139"/>
      <c r="F25" s="146"/>
      <c r="G25" s="139"/>
      <c r="H25" s="139"/>
      <c r="I25" s="137"/>
      <c r="J25" s="140"/>
      <c r="K25" s="147"/>
      <c r="L25" s="131"/>
      <c r="M25" s="135">
        <f t="shared" ref="M25" si="74">M23+P23+L24</f>
        <v>1.4187464737184841</v>
      </c>
      <c r="N25" s="141">
        <f t="shared" ref="N25" si="75">O25</f>
        <v>44390.62707980704</v>
      </c>
      <c r="O25" s="132">
        <f t="shared" ref="O25" si="76">R23+L24</f>
        <v>44390.62707980704</v>
      </c>
      <c r="P25" s="133">
        <v>0</v>
      </c>
      <c r="Q25" s="141">
        <f t="shared" si="0"/>
        <v>44390.62707980704</v>
      </c>
      <c r="R25" s="132">
        <f t="shared" ref="R25:R29" si="77">O25+P25</f>
        <v>44390.62707980704</v>
      </c>
      <c r="S25" s="158">
        <f t="shared" ref="S25" si="78">T25</f>
        <v>44390.240394236636</v>
      </c>
      <c r="T25" s="144">
        <f>$C$2+CtrlTiming!C27</f>
        <v>44390.240394236636</v>
      </c>
      <c r="U25" s="141">
        <f t="shared" ref="U25" si="79">V25</f>
        <v>44391.48451310378</v>
      </c>
      <c r="V25" s="144">
        <f>$C$2+CtrlTiming!E27</f>
        <v>44391.48451310378</v>
      </c>
      <c r="W25" s="150" t="str">
        <f>B25</f>
        <v>Yampa</v>
      </c>
    </row>
    <row r="26" spans="1:23" ht="7.5" customHeight="1" x14ac:dyDescent="0.25">
      <c r="A26" s="143"/>
      <c r="B26" s="130"/>
      <c r="C26" s="142"/>
      <c r="D26" s="138"/>
      <c r="E26" s="139">
        <f t="shared" ref="E26" si="80">CONVERT(F26,"km","mi")</f>
        <v>59.699851616559272</v>
      </c>
      <c r="F26" s="146">
        <f>D27-D25</f>
        <v>96.077597999999966</v>
      </c>
      <c r="G26" s="139">
        <f t="shared" ref="G26" si="81">H26/E26</f>
        <v>59.899646367095919</v>
      </c>
      <c r="H26" s="139">
        <v>3576</v>
      </c>
      <c r="I26" s="136">
        <v>14</v>
      </c>
      <c r="J26" s="140">
        <f t="shared" ref="J26" si="82">CONVERT(I26,"mi","km")</f>
        <v>22.530815999999998</v>
      </c>
      <c r="K26" s="147">
        <v>0</v>
      </c>
      <c r="L26" s="131">
        <f>((E26/I26)/24)+K26</f>
        <v>0.17767812981118833</v>
      </c>
      <c r="M26" s="135"/>
      <c r="N26" s="141"/>
      <c r="O26" s="132"/>
      <c r="P26" s="134"/>
      <c r="Q26" s="141"/>
      <c r="R26" s="132"/>
      <c r="S26" s="158"/>
      <c r="T26" s="145"/>
      <c r="U26" s="141"/>
      <c r="V26" s="145"/>
      <c r="W26" s="151"/>
    </row>
    <row r="27" spans="1:23" ht="7.5" customHeight="1" x14ac:dyDescent="0.25">
      <c r="A27" s="161"/>
      <c r="B27" s="130" t="s">
        <v>125</v>
      </c>
      <c r="C27" s="142">
        <v>536.4</v>
      </c>
      <c r="D27" s="138">
        <f t="shared" ref="D27" si="83">C27*1.60934</f>
        <v>863.24997599999995</v>
      </c>
      <c r="E27" s="139"/>
      <c r="F27" s="146"/>
      <c r="G27" s="139"/>
      <c r="H27" s="139"/>
      <c r="I27" s="137"/>
      <c r="J27" s="140"/>
      <c r="K27" s="147"/>
      <c r="L27" s="131"/>
      <c r="M27" s="135">
        <f t="shared" ref="M27" si="84">M25+P25+L26</f>
        <v>1.5964246035296723</v>
      </c>
      <c r="N27" s="141">
        <f t="shared" ref="N27" si="85">O27</f>
        <v>44390.80475793685</v>
      </c>
      <c r="O27" s="132">
        <f t="shared" ref="O27" si="86">R25+L26</f>
        <v>44390.80475793685</v>
      </c>
      <c r="P27" s="133">
        <v>0</v>
      </c>
      <c r="Q27" s="141">
        <f t="shared" si="0"/>
        <v>44390.80475793685</v>
      </c>
      <c r="R27" s="132">
        <f t="shared" si="77"/>
        <v>44390.80475793685</v>
      </c>
      <c r="S27" s="158">
        <f t="shared" ref="S27" si="87">T27</f>
        <v>44390.383366852708</v>
      </c>
      <c r="T27" s="144">
        <f>$C$2+CtrlTiming!C29</f>
        <v>44390.383366852708</v>
      </c>
      <c r="U27" s="141">
        <f t="shared" ref="U27" si="88">V27</f>
        <v>44391.834813528178</v>
      </c>
      <c r="V27" s="144">
        <f>$C$2+CtrlTiming!E29</f>
        <v>44391.834813528178</v>
      </c>
      <c r="W27" s="150" t="str">
        <f>B27</f>
        <v>Hot Sulphur Springs</v>
      </c>
    </row>
    <row r="28" spans="1:23" ht="7.5" customHeight="1" x14ac:dyDescent="0.25">
      <c r="A28" s="143"/>
      <c r="B28" s="130"/>
      <c r="C28" s="142"/>
      <c r="D28" s="138"/>
      <c r="E28" s="139">
        <f t="shared" ref="E28" si="89">CONVERT(F28,"km","mi")</f>
        <v>60.599849379623038</v>
      </c>
      <c r="F28" s="146">
        <f>D29-D27</f>
        <v>97.526004000000057</v>
      </c>
      <c r="G28" s="139">
        <f t="shared" ref="G28" si="90">H28/E28</f>
        <v>52.491879642684808</v>
      </c>
      <c r="H28" s="139">
        <v>3181</v>
      </c>
      <c r="I28" s="136">
        <v>14</v>
      </c>
      <c r="J28" s="140">
        <f t="shared" ref="J28" si="91">CONVERT(I28,"mi","km")</f>
        <v>22.530815999999998</v>
      </c>
      <c r="K28" s="147">
        <v>0</v>
      </c>
      <c r="L28" s="131">
        <f>((E28/I28)/24)+K28</f>
        <v>0.1803566945822114</v>
      </c>
      <c r="M28" s="135"/>
      <c r="N28" s="141"/>
      <c r="O28" s="132"/>
      <c r="P28" s="134"/>
      <c r="Q28" s="141"/>
      <c r="R28" s="132"/>
      <c r="S28" s="158"/>
      <c r="T28" s="145"/>
      <c r="U28" s="141"/>
      <c r="V28" s="145"/>
      <c r="W28" s="151"/>
    </row>
    <row r="29" spans="1:23" ht="7.5" customHeight="1" x14ac:dyDescent="0.25">
      <c r="A29" s="161"/>
      <c r="B29" s="130" t="s">
        <v>93</v>
      </c>
      <c r="C29" s="142">
        <v>597</v>
      </c>
      <c r="D29" s="138">
        <f t="shared" ref="D29" si="92">C29*1.60934</f>
        <v>960.77598</v>
      </c>
      <c r="E29" s="139"/>
      <c r="F29" s="146"/>
      <c r="G29" s="139"/>
      <c r="H29" s="139"/>
      <c r="I29" s="137"/>
      <c r="J29" s="140"/>
      <c r="K29" s="147"/>
      <c r="L29" s="131"/>
      <c r="M29" s="135">
        <f t="shared" ref="M29" si="93">M27+P27+L28</f>
        <v>1.7767812981118838</v>
      </c>
      <c r="N29" s="141">
        <f t="shared" ref="N29" si="94">O29</f>
        <v>44390.985114631432</v>
      </c>
      <c r="O29" s="132">
        <f t="shared" ref="O29" si="95">R27+L28</f>
        <v>44390.985114631432</v>
      </c>
      <c r="P29" s="133">
        <v>0</v>
      </c>
      <c r="Q29" s="141">
        <f t="shared" si="0"/>
        <v>44390.985114631432</v>
      </c>
      <c r="R29" s="132">
        <f t="shared" si="77"/>
        <v>44390.985114631432</v>
      </c>
      <c r="S29" s="158">
        <f t="shared" ref="S29" si="96">T29</f>
        <v>44390.528494834856</v>
      </c>
      <c r="T29" s="144">
        <f>$C$2+CtrlTiming!C31</f>
        <v>44390.528494834856</v>
      </c>
      <c r="U29" s="141">
        <f t="shared" ref="U29" si="97">V29</f>
        <v>44392.190394863494</v>
      </c>
      <c r="V29" s="144">
        <f>$C$2+CtrlTiming!E31</f>
        <v>44392.190394863494</v>
      </c>
      <c r="W29" s="150" t="str">
        <f>B29</f>
        <v>Walden</v>
      </c>
    </row>
    <row r="30" spans="1:23" ht="7.5" customHeight="1" x14ac:dyDescent="0.25">
      <c r="A30" s="143"/>
      <c r="B30" s="130"/>
      <c r="C30" s="142"/>
      <c r="D30" s="138"/>
      <c r="E30" s="139">
        <f t="shared" ref="E30" si="98">CONVERT(F30,"km","mi")</f>
        <v>149.69962792293006</v>
      </c>
      <c r="F30" s="146">
        <f>D31-D29</f>
        <v>240.91819799999996</v>
      </c>
      <c r="G30" s="139">
        <f t="shared" ref="G30" si="99">H30/E30</f>
        <v>35.972033295716422</v>
      </c>
      <c r="H30" s="139">
        <v>5385</v>
      </c>
      <c r="I30" s="136">
        <v>14</v>
      </c>
      <c r="J30" s="140">
        <f t="shared" ref="J30" si="100">CONVERT(I30,"mi","km")</f>
        <v>22.530815999999998</v>
      </c>
      <c r="K30" s="147">
        <v>0</v>
      </c>
      <c r="L30" s="131">
        <f>((E30/I30)/24)+K30</f>
        <v>0.44553460691348229</v>
      </c>
      <c r="M30" s="135"/>
      <c r="N30" s="141"/>
      <c r="O30" s="132"/>
      <c r="P30" s="134"/>
      <c r="Q30" s="141"/>
      <c r="R30" s="132"/>
      <c r="S30" s="158"/>
      <c r="T30" s="145"/>
      <c r="U30" s="141"/>
      <c r="V30" s="145"/>
      <c r="W30" s="151"/>
    </row>
    <row r="31" spans="1:23" ht="7.5" customHeight="1" x14ac:dyDescent="0.25">
      <c r="A31" s="161"/>
      <c r="B31" s="130" t="s">
        <v>92</v>
      </c>
      <c r="C31" s="142">
        <v>746.7</v>
      </c>
      <c r="D31" s="138">
        <f t="shared" ref="D31:D43" si="101">C31*1.60934</f>
        <v>1201.694178</v>
      </c>
      <c r="E31" s="139"/>
      <c r="F31" s="146"/>
      <c r="G31" s="139"/>
      <c r="H31" s="139"/>
      <c r="I31" s="137"/>
      <c r="J31" s="140"/>
      <c r="K31" s="147"/>
      <c r="L31" s="131"/>
      <c r="M31" s="135">
        <f>M29+P29+L30</f>
        <v>2.2223159050253662</v>
      </c>
      <c r="N31" s="141">
        <f t="shared" ref="N31" si="102">O31</f>
        <v>44391.430649238348</v>
      </c>
      <c r="O31" s="132">
        <f t="shared" ref="O31" si="103">R29+L30</f>
        <v>44391.430649238348</v>
      </c>
      <c r="P31" s="133">
        <v>0</v>
      </c>
      <c r="Q31" s="141"/>
      <c r="R31" s="132"/>
      <c r="S31" s="158">
        <f t="shared" ref="S31" si="104">T31</f>
        <v>44390.910091761594</v>
      </c>
      <c r="T31" s="144">
        <f>$C$2+CtrlTiming!C33</f>
        <v>44390.910091761594</v>
      </c>
      <c r="U31" s="141">
        <f t="shared" ref="U31" si="105">V31</f>
        <v>44392.963716317652</v>
      </c>
      <c r="V31" s="144">
        <f>$C$2+CtrlTiming!E33</f>
        <v>44392.963716317652</v>
      </c>
      <c r="W31" s="150" t="str">
        <f>B31</f>
        <v>Louisville</v>
      </c>
    </row>
    <row r="32" spans="1:23" ht="7.5" customHeight="1" x14ac:dyDescent="0.25">
      <c r="A32" s="143"/>
      <c r="B32" s="130"/>
      <c r="C32" s="142"/>
      <c r="D32" s="138"/>
      <c r="E32" s="139">
        <f t="shared" ref="E32" si="106">CONVERT(F32,"km","mi")</f>
        <v>0</v>
      </c>
      <c r="F32" s="146">
        <f>D33-D31</f>
        <v>0</v>
      </c>
      <c r="G32" s="139" t="e">
        <f t="shared" ref="G32" si="107">H32/E32</f>
        <v>#VALUE!</v>
      </c>
      <c r="H32" s="139" t="s">
        <v>97</v>
      </c>
      <c r="I32" s="136">
        <v>14</v>
      </c>
      <c r="J32" s="140">
        <f t="shared" ref="J32" si="108">CONVERT(I32,"mi","km")</f>
        <v>22.530815999999998</v>
      </c>
      <c r="K32" s="147">
        <v>0</v>
      </c>
      <c r="L32" s="131">
        <f>((E32/I32)/24)+K32</f>
        <v>0</v>
      </c>
      <c r="M32" s="135"/>
      <c r="N32" s="141"/>
      <c r="O32" s="132"/>
      <c r="P32" s="134"/>
      <c r="Q32" s="141"/>
      <c r="R32" s="132"/>
      <c r="S32" s="158"/>
      <c r="T32" s="145"/>
      <c r="U32" s="141"/>
      <c r="V32" s="145"/>
      <c r="W32" s="151"/>
    </row>
    <row r="33" spans="1:23" ht="7.5" customHeight="1" x14ac:dyDescent="0.25">
      <c r="A33" s="161"/>
      <c r="B33" s="130"/>
      <c r="C33" s="142">
        <v>746.7</v>
      </c>
      <c r="D33" s="138">
        <f t="shared" si="101"/>
        <v>1201.694178</v>
      </c>
      <c r="E33" s="139"/>
      <c r="F33" s="146"/>
      <c r="G33" s="139"/>
      <c r="H33" s="139"/>
      <c r="I33" s="137"/>
      <c r="J33" s="140"/>
      <c r="K33" s="147"/>
      <c r="L33" s="131"/>
      <c r="M33" s="135">
        <f t="shared" ref="M33" si="109">M31+P31+L32</f>
        <v>2.2223159050253662</v>
      </c>
      <c r="N33" s="141">
        <f t="shared" ref="N33" si="110">O33</f>
        <v>0</v>
      </c>
      <c r="O33" s="132">
        <f t="shared" ref="O33" si="111">R31+L32</f>
        <v>0</v>
      </c>
      <c r="P33" s="133">
        <v>0</v>
      </c>
      <c r="Q33" s="141"/>
      <c r="R33" s="132"/>
      <c r="S33" s="158">
        <f t="shared" ref="S33" si="112">T33</f>
        <v>44389.208333333336</v>
      </c>
      <c r="T33" s="144">
        <f>$C$2+CtrlTiming!C39</f>
        <v>44389.208333333336</v>
      </c>
      <c r="U33" s="141">
        <f t="shared" ref="U33" si="113">V33</f>
        <v>44389.208333333336</v>
      </c>
      <c r="V33" s="144">
        <f>$C$2+CtrlTiming!E39</f>
        <v>44389.208333333336</v>
      </c>
      <c r="W33" s="150">
        <f>B33</f>
        <v>0</v>
      </c>
    </row>
    <row r="34" spans="1:23" ht="7.5" customHeight="1" x14ac:dyDescent="0.25">
      <c r="A34" s="143"/>
      <c r="B34" s="130"/>
      <c r="C34" s="142"/>
      <c r="D34" s="138"/>
      <c r="E34" s="139">
        <f t="shared" ref="E34" si="114">CONVERT(F34,"km","mi")</f>
        <v>0</v>
      </c>
      <c r="F34" s="146">
        <f>D35-D33</f>
        <v>0</v>
      </c>
      <c r="G34" s="139" t="e">
        <f t="shared" ref="G34" si="115">H34/E34</f>
        <v>#VALUE!</v>
      </c>
      <c r="H34" s="139" t="s">
        <v>97</v>
      </c>
      <c r="I34" s="136">
        <v>14</v>
      </c>
      <c r="J34" s="140">
        <f t="shared" ref="J34" si="116">CONVERT(I34,"mi","km")</f>
        <v>22.530815999999998</v>
      </c>
      <c r="K34" s="147">
        <v>0</v>
      </c>
      <c r="L34" s="131">
        <f>((E34/I34)/24)+K34</f>
        <v>0</v>
      </c>
      <c r="M34" s="135"/>
      <c r="N34" s="141"/>
      <c r="O34" s="132"/>
      <c r="P34" s="134"/>
      <c r="Q34" s="141"/>
      <c r="R34" s="132"/>
      <c r="S34" s="158"/>
      <c r="T34" s="145"/>
      <c r="U34" s="141"/>
      <c r="V34" s="145"/>
      <c r="W34" s="151"/>
    </row>
    <row r="35" spans="1:23" ht="7.5" customHeight="1" x14ac:dyDescent="0.25">
      <c r="A35" s="143"/>
      <c r="B35" s="130"/>
      <c r="C35" s="142">
        <v>746.7</v>
      </c>
      <c r="D35" s="138">
        <f t="shared" si="101"/>
        <v>1201.694178</v>
      </c>
      <c r="E35" s="139"/>
      <c r="F35" s="146"/>
      <c r="G35" s="139"/>
      <c r="H35" s="139"/>
      <c r="I35" s="137"/>
      <c r="J35" s="140"/>
      <c r="K35" s="147"/>
      <c r="L35" s="131"/>
      <c r="M35" s="135">
        <f t="shared" ref="M35" si="117">M33+P33+L34</f>
        <v>2.2223159050253662</v>
      </c>
      <c r="N35" s="141">
        <f t="shared" ref="N35" si="118">O35</f>
        <v>0</v>
      </c>
      <c r="O35" s="132">
        <f t="shared" ref="O35" si="119">R33+L34</f>
        <v>0</v>
      </c>
      <c r="P35" s="133">
        <v>0</v>
      </c>
      <c r="Q35" s="141"/>
      <c r="R35" s="132"/>
      <c r="S35" s="158">
        <f>T35</f>
        <v>44389.208333333336</v>
      </c>
      <c r="T35" s="144">
        <f>$C$2+CtrlTiming!C41</f>
        <v>44389.208333333336</v>
      </c>
      <c r="U35" s="141">
        <f>V35</f>
        <v>44389.208333333336</v>
      </c>
      <c r="V35" s="144">
        <f>$C$2+CtrlTiming!E41</f>
        <v>44389.208333333336</v>
      </c>
      <c r="W35" s="150">
        <f>B35</f>
        <v>0</v>
      </c>
    </row>
    <row r="36" spans="1:23" ht="7.5" customHeight="1" x14ac:dyDescent="0.25">
      <c r="A36" s="143"/>
      <c r="B36" s="130"/>
      <c r="C36" s="142"/>
      <c r="D36" s="138"/>
      <c r="E36" s="139">
        <f t="shared" ref="E36" si="120">CONVERT(F36,"km","mi")</f>
        <v>0</v>
      </c>
      <c r="F36" s="146">
        <f>D37-D35</f>
        <v>0</v>
      </c>
      <c r="G36" s="139" t="e">
        <f t="shared" ref="G36" si="121">H36/E36</f>
        <v>#VALUE!</v>
      </c>
      <c r="H36" s="139" t="s">
        <v>97</v>
      </c>
      <c r="I36" s="136">
        <v>14</v>
      </c>
      <c r="J36" s="140">
        <f t="shared" ref="J36" si="122">CONVERT(I36,"mi","km")</f>
        <v>22.530815999999998</v>
      </c>
      <c r="K36" s="147">
        <v>0</v>
      </c>
      <c r="L36" s="131">
        <f>((E36/I36)/24)+K36</f>
        <v>0</v>
      </c>
      <c r="M36" s="135"/>
      <c r="N36" s="141"/>
      <c r="O36" s="132"/>
      <c r="P36" s="134"/>
      <c r="Q36" s="141"/>
      <c r="R36" s="132"/>
      <c r="S36" s="158"/>
      <c r="T36" s="145"/>
      <c r="U36" s="141"/>
      <c r="V36" s="145"/>
      <c r="W36" s="151"/>
    </row>
    <row r="37" spans="1:23" ht="7.5" customHeight="1" x14ac:dyDescent="0.25">
      <c r="A37" s="143"/>
      <c r="B37" s="130"/>
      <c r="C37" s="142">
        <v>746.7</v>
      </c>
      <c r="D37" s="138">
        <f t="shared" si="101"/>
        <v>1201.694178</v>
      </c>
      <c r="E37" s="139"/>
      <c r="F37" s="146"/>
      <c r="G37" s="139"/>
      <c r="H37" s="139"/>
      <c r="I37" s="137"/>
      <c r="J37" s="140"/>
      <c r="K37" s="147"/>
      <c r="L37" s="131"/>
      <c r="M37" s="135">
        <f t="shared" ref="M37" si="123">M35+P35+L36</f>
        <v>2.2223159050253662</v>
      </c>
      <c r="N37" s="141">
        <f t="shared" ref="N37" si="124">O37</f>
        <v>0</v>
      </c>
      <c r="O37" s="132">
        <f t="shared" ref="O37" si="125">R35+L36</f>
        <v>0</v>
      </c>
      <c r="P37" s="133">
        <v>0</v>
      </c>
      <c r="Q37" s="141"/>
      <c r="R37" s="132"/>
      <c r="S37" s="158">
        <f>T37</f>
        <v>44389.208333333336</v>
      </c>
      <c r="T37" s="144">
        <f>$C$2+CtrlTiming!C43</f>
        <v>44389.208333333336</v>
      </c>
      <c r="U37" s="141">
        <f>V37</f>
        <v>44389.208333333336</v>
      </c>
      <c r="V37" s="144">
        <f>$C$2+CtrlTiming!E43</f>
        <v>44389.208333333336</v>
      </c>
      <c r="W37" s="150">
        <f>B37</f>
        <v>0</v>
      </c>
    </row>
    <row r="38" spans="1:23" ht="7.5" customHeight="1" x14ac:dyDescent="0.25">
      <c r="A38" s="143"/>
      <c r="B38" s="130"/>
      <c r="C38" s="142"/>
      <c r="D38" s="138"/>
      <c r="E38" s="139">
        <f t="shared" ref="E38" si="126">CONVERT(F38,"km","mi")</f>
        <v>0</v>
      </c>
      <c r="F38" s="146">
        <f>D39-D37</f>
        <v>0</v>
      </c>
      <c r="G38" s="139" t="e">
        <f t="shared" ref="G38" si="127">H38/E38</f>
        <v>#VALUE!</v>
      </c>
      <c r="H38" s="139" t="s">
        <v>97</v>
      </c>
      <c r="I38" s="136">
        <v>14</v>
      </c>
      <c r="J38" s="140">
        <f t="shared" ref="J38" si="128">CONVERT(I38,"mi","km")</f>
        <v>22.530815999999998</v>
      </c>
      <c r="K38" s="147">
        <v>0</v>
      </c>
      <c r="L38" s="131">
        <f>((E38/I38)/24)+K38</f>
        <v>0</v>
      </c>
      <c r="M38" s="135"/>
      <c r="N38" s="141"/>
      <c r="O38" s="132"/>
      <c r="P38" s="134"/>
      <c r="Q38" s="141"/>
      <c r="R38" s="132"/>
      <c r="S38" s="158"/>
      <c r="T38" s="145"/>
      <c r="U38" s="141"/>
      <c r="V38" s="145"/>
      <c r="W38" s="151"/>
    </row>
    <row r="39" spans="1:23" ht="7.5" customHeight="1" x14ac:dyDescent="0.25">
      <c r="A39" s="143"/>
      <c r="B39" s="130"/>
      <c r="C39" s="142">
        <v>746.7</v>
      </c>
      <c r="D39" s="138">
        <f t="shared" si="101"/>
        <v>1201.694178</v>
      </c>
      <c r="E39" s="139"/>
      <c r="F39" s="146"/>
      <c r="G39" s="139"/>
      <c r="H39" s="139"/>
      <c r="I39" s="137"/>
      <c r="J39" s="140"/>
      <c r="K39" s="147"/>
      <c r="L39" s="131"/>
      <c r="M39" s="135">
        <f t="shared" ref="M39" si="129">M37+P37+L38</f>
        <v>2.2223159050253662</v>
      </c>
      <c r="N39" s="141">
        <f t="shared" ref="N39" si="130">O39</f>
        <v>0</v>
      </c>
      <c r="O39" s="132">
        <f t="shared" ref="O39" si="131">R37+L38</f>
        <v>0</v>
      </c>
      <c r="P39" s="133">
        <v>0</v>
      </c>
      <c r="Q39" s="141"/>
      <c r="R39" s="132"/>
      <c r="S39" s="152">
        <f>T39</f>
        <v>44389.208333333336</v>
      </c>
      <c r="T39" s="144">
        <f>$C$2+CtrlTiming!C45</f>
        <v>44389.208333333336</v>
      </c>
      <c r="U39" s="141">
        <f>V39</f>
        <v>44389.208333333336</v>
      </c>
      <c r="V39" s="144">
        <f>$C$2+CtrlTiming!E45</f>
        <v>44389.208333333336</v>
      </c>
      <c r="W39" s="150">
        <f>B39</f>
        <v>0</v>
      </c>
    </row>
    <row r="40" spans="1:23" ht="7.5" customHeight="1" x14ac:dyDescent="0.25">
      <c r="A40" s="143"/>
      <c r="B40" s="130"/>
      <c r="C40" s="142"/>
      <c r="D40" s="138"/>
      <c r="E40" s="139">
        <f t="shared" ref="E40" si="132">CONVERT(F40,"km","mi")</f>
        <v>0</v>
      </c>
      <c r="F40" s="146">
        <f>D41-D39</f>
        <v>0</v>
      </c>
      <c r="G40" s="139" t="e">
        <f t="shared" ref="G40" si="133">H40/E40</f>
        <v>#VALUE!</v>
      </c>
      <c r="H40" s="139" t="s">
        <v>97</v>
      </c>
      <c r="I40" s="136">
        <v>14</v>
      </c>
      <c r="J40" s="140">
        <f t="shared" ref="J40" si="134">CONVERT(I40,"mi","km")</f>
        <v>22.530815999999998</v>
      </c>
      <c r="K40" s="147">
        <v>0</v>
      </c>
      <c r="L40" s="131">
        <f>((E40/I40)/24)+K40</f>
        <v>0</v>
      </c>
      <c r="M40" s="135"/>
      <c r="N40" s="141"/>
      <c r="O40" s="132"/>
      <c r="P40" s="134"/>
      <c r="Q40" s="141"/>
      <c r="R40" s="132"/>
      <c r="S40" s="152"/>
      <c r="T40" s="145"/>
      <c r="U40" s="141"/>
      <c r="V40" s="145"/>
      <c r="W40" s="151"/>
    </row>
    <row r="41" spans="1:23" ht="7.5" customHeight="1" x14ac:dyDescent="0.25">
      <c r="A41" s="143"/>
      <c r="B41" s="130"/>
      <c r="C41" s="142">
        <v>746.7</v>
      </c>
      <c r="D41" s="138">
        <f t="shared" si="101"/>
        <v>1201.694178</v>
      </c>
      <c r="E41" s="139"/>
      <c r="F41" s="146"/>
      <c r="G41" s="139"/>
      <c r="H41" s="139"/>
      <c r="I41" s="137"/>
      <c r="J41" s="140"/>
      <c r="K41" s="147"/>
      <c r="L41" s="131"/>
      <c r="M41" s="135">
        <f t="shared" ref="M41" si="135">M39+P39+L40</f>
        <v>2.2223159050253662</v>
      </c>
      <c r="N41" s="141">
        <f t="shared" ref="N41" si="136">O41</f>
        <v>0</v>
      </c>
      <c r="O41" s="132">
        <f t="shared" ref="O41" si="137">R39+L40</f>
        <v>0</v>
      </c>
      <c r="P41" s="133">
        <v>0</v>
      </c>
      <c r="Q41" s="141"/>
      <c r="R41" s="132"/>
      <c r="S41" s="152">
        <f>T41</f>
        <v>44389.208333333336</v>
      </c>
      <c r="T41" s="144">
        <f>$C$2+CtrlTiming!C47</f>
        <v>44389.208333333336</v>
      </c>
      <c r="U41" s="141">
        <f>V41</f>
        <v>44389.208333333336</v>
      </c>
      <c r="V41" s="144">
        <f>$C$2+CtrlTiming!E47</f>
        <v>44389.208333333336</v>
      </c>
      <c r="W41" s="150">
        <f>B41</f>
        <v>0</v>
      </c>
    </row>
    <row r="42" spans="1:23" ht="7.5" customHeight="1" x14ac:dyDescent="0.25">
      <c r="A42" s="143"/>
      <c r="B42" s="130"/>
      <c r="C42" s="142"/>
      <c r="D42" s="138"/>
      <c r="E42" s="139">
        <f t="shared" ref="E42" si="138">CONVERT(F42,"km","mi")</f>
        <v>0</v>
      </c>
      <c r="F42" s="146">
        <f>D43-D41</f>
        <v>0</v>
      </c>
      <c r="G42" s="139" t="e">
        <f t="shared" ref="G42" si="139">H42/E42</f>
        <v>#VALUE!</v>
      </c>
      <c r="H42" s="139" t="s">
        <v>97</v>
      </c>
      <c r="I42" s="136">
        <v>14</v>
      </c>
      <c r="J42" s="140">
        <f t="shared" ref="J42" si="140">CONVERT(I42,"mi","km")</f>
        <v>22.530815999999998</v>
      </c>
      <c r="K42" s="147">
        <v>0</v>
      </c>
      <c r="L42" s="131">
        <f>((E42/I42)/24)+K42</f>
        <v>0</v>
      </c>
      <c r="M42" s="135"/>
      <c r="N42" s="141"/>
      <c r="O42" s="132"/>
      <c r="P42" s="134"/>
      <c r="Q42" s="141"/>
      <c r="R42" s="132"/>
      <c r="S42" s="152"/>
      <c r="T42" s="145"/>
      <c r="U42" s="141"/>
      <c r="V42" s="145"/>
      <c r="W42" s="151"/>
    </row>
    <row r="43" spans="1:23" ht="7.5" customHeight="1" x14ac:dyDescent="0.25">
      <c r="A43" s="143"/>
      <c r="B43" s="130"/>
      <c r="C43" s="142">
        <v>746.7</v>
      </c>
      <c r="D43" s="138">
        <f t="shared" si="101"/>
        <v>1201.694178</v>
      </c>
      <c r="E43" s="139"/>
      <c r="F43" s="146"/>
      <c r="G43" s="139"/>
      <c r="H43" s="139"/>
      <c r="I43" s="137"/>
      <c r="J43" s="140"/>
      <c r="K43" s="147"/>
      <c r="L43" s="131"/>
      <c r="M43" s="135">
        <f t="shared" ref="M43" si="141">M41+P41+L42</f>
        <v>2.2223159050253662</v>
      </c>
      <c r="N43" s="141">
        <f t="shared" ref="N43" si="142">O43</f>
        <v>0</v>
      </c>
      <c r="O43" s="132">
        <f t="shared" ref="O43" si="143">R41+L42</f>
        <v>0</v>
      </c>
      <c r="P43" s="32"/>
      <c r="Q43" s="148"/>
      <c r="R43" s="148"/>
      <c r="S43" s="152">
        <f>T43</f>
        <v>44389.208333333336</v>
      </c>
      <c r="T43" s="144">
        <f>$C$2+CtrlTiming!C49</f>
        <v>44389.208333333336</v>
      </c>
      <c r="U43" s="141">
        <f>V43</f>
        <v>44389.208333333336</v>
      </c>
      <c r="V43" s="144">
        <f>$C$2+CtrlTiming!E49</f>
        <v>44389.208333333336</v>
      </c>
      <c r="W43" s="150">
        <f>B43</f>
        <v>0</v>
      </c>
    </row>
    <row r="44" spans="1:23" ht="7.5" customHeight="1" x14ac:dyDescent="0.25">
      <c r="A44" s="143"/>
      <c r="B44" s="130"/>
      <c r="C44" s="142"/>
      <c r="D44" s="138"/>
      <c r="E44" s="94"/>
      <c r="F44" s="81"/>
      <c r="G44" s="81"/>
      <c r="H44" s="81"/>
      <c r="I44" s="43"/>
      <c r="J44" s="95"/>
      <c r="K44" s="43"/>
      <c r="L44" s="57"/>
      <c r="M44" s="135"/>
      <c r="N44" s="141"/>
      <c r="O44" s="132"/>
      <c r="P44" s="32"/>
      <c r="Q44" s="149"/>
      <c r="R44" s="149"/>
      <c r="S44" s="152"/>
      <c r="T44" s="145"/>
      <c r="U44" s="141"/>
      <c r="V44" s="145"/>
      <c r="W44" s="151"/>
    </row>
    <row r="45" spans="1:23" x14ac:dyDescent="0.25">
      <c r="A45" s="32"/>
      <c r="B45" s="32"/>
      <c r="C45" s="28"/>
      <c r="D45" s="28"/>
      <c r="E45" s="44"/>
      <c r="F45" s="80"/>
      <c r="G45" s="80"/>
      <c r="H45" s="28">
        <f>CONVERT(SUM(H6:H43),"m","ft")</f>
        <v>122998.68766404199</v>
      </c>
      <c r="I45" s="43" t="s">
        <v>87</v>
      </c>
      <c r="J45" s="43"/>
      <c r="K45" s="43"/>
      <c r="L45" s="43"/>
      <c r="M45" s="74">
        <f>M43-P45</f>
        <v>2.2223159050253662</v>
      </c>
      <c r="N45" s="116" t="s">
        <v>89</v>
      </c>
      <c r="O45" s="115"/>
      <c r="P45" s="58">
        <f>SUM(P7:P42)+SUM(K7:K42)</f>
        <v>0</v>
      </c>
      <c r="Q45" s="51" t="s">
        <v>88</v>
      </c>
      <c r="R45" s="32"/>
      <c r="S45" s="67"/>
      <c r="T45" s="45"/>
      <c r="U45" s="45"/>
      <c r="V45" s="45"/>
      <c r="W45" s="32"/>
    </row>
    <row r="46" spans="1:23" x14ac:dyDescent="0.25">
      <c r="A46" s="84"/>
      <c r="B46" s="32"/>
      <c r="C46" s="28"/>
      <c r="D46" s="28"/>
      <c r="E46" s="28"/>
      <c r="F46" s="80"/>
      <c r="G46" s="80"/>
      <c r="H46" s="80"/>
      <c r="I46" s="42"/>
      <c r="J46" s="32"/>
      <c r="K46" s="32"/>
      <c r="L46" s="32"/>
      <c r="M46" s="58"/>
      <c r="N46" s="73"/>
      <c r="O46" s="88"/>
      <c r="P46" s="87"/>
      <c r="Q46" s="87"/>
      <c r="R46" s="87"/>
      <c r="S46" s="87"/>
      <c r="T46" s="87"/>
      <c r="U46" s="87"/>
      <c r="V46" s="87"/>
      <c r="W46" s="32"/>
    </row>
    <row r="47" spans="1:23" x14ac:dyDescent="0.25">
      <c r="A47" s="84"/>
      <c r="B47" s="32"/>
      <c r="C47" s="28"/>
      <c r="D47" s="28"/>
      <c r="E47" s="28"/>
      <c r="F47" s="80"/>
      <c r="G47" s="80"/>
      <c r="H47" s="80"/>
      <c r="I47" s="42"/>
      <c r="J47" s="32"/>
      <c r="K47" s="32"/>
      <c r="L47" s="28"/>
      <c r="M47" s="58"/>
      <c r="N47" s="73"/>
      <c r="O47" s="88"/>
      <c r="P47" s="87" t="s">
        <v>10</v>
      </c>
      <c r="Q47" s="87"/>
      <c r="R47" s="87"/>
      <c r="S47" s="87"/>
      <c r="T47" s="87"/>
      <c r="U47" s="87"/>
      <c r="V47" s="87"/>
      <c r="W47" s="32"/>
    </row>
    <row r="48" spans="1:23" x14ac:dyDescent="0.25">
      <c r="A48" s="84" t="s">
        <v>113</v>
      </c>
      <c r="B48" s="32"/>
      <c r="C48" s="28"/>
      <c r="D48" s="28"/>
      <c r="E48" s="28"/>
      <c r="F48" s="80"/>
      <c r="G48" s="80"/>
      <c r="H48" s="80"/>
      <c r="I48" s="42"/>
      <c r="J48" s="32"/>
      <c r="K48" s="32"/>
      <c r="L48" s="28"/>
      <c r="M48" s="32"/>
      <c r="N48" s="67"/>
      <c r="O48" s="88"/>
      <c r="P48" s="50" t="s">
        <v>13</v>
      </c>
      <c r="Q48" s="68"/>
      <c r="R48" s="50" t="s">
        <v>14</v>
      </c>
      <c r="S48" s="68"/>
      <c r="T48" s="100" t="s">
        <v>15</v>
      </c>
      <c r="U48" s="50"/>
      <c r="V48" s="50" t="s">
        <v>12</v>
      </c>
      <c r="W48" s="32"/>
    </row>
    <row r="49" spans="1:23" x14ac:dyDescent="0.25">
      <c r="A49" s="107" t="s">
        <v>63</v>
      </c>
      <c r="B49" s="96"/>
      <c r="C49" s="28"/>
      <c r="D49" s="28"/>
      <c r="E49" s="28"/>
      <c r="F49" s="80"/>
      <c r="G49" s="80"/>
      <c r="H49" s="80"/>
      <c r="I49" s="42"/>
      <c r="J49" s="32"/>
      <c r="K49" s="32"/>
      <c r="L49" s="28"/>
      <c r="M49" s="32"/>
      <c r="N49" s="67"/>
      <c r="O49" s="88">
        <v>44025</v>
      </c>
      <c r="P49" s="128">
        <v>0.23819444444444446</v>
      </c>
      <c r="Q49" s="85"/>
      <c r="R49" s="128">
        <v>0.8534722222222223</v>
      </c>
      <c r="S49" s="85"/>
      <c r="T49" s="128"/>
      <c r="U49" s="86"/>
      <c r="V49" s="128"/>
      <c r="W49" s="32"/>
    </row>
    <row r="50" spans="1:23" x14ac:dyDescent="0.25">
      <c r="A50" s="32"/>
      <c r="B50" s="99"/>
      <c r="C50" s="28"/>
      <c r="D50" s="28"/>
      <c r="E50" s="28"/>
      <c r="F50" s="80"/>
      <c r="G50" s="80"/>
      <c r="H50" s="80"/>
      <c r="I50" s="42"/>
      <c r="J50" s="32"/>
      <c r="K50" s="32"/>
      <c r="L50" s="28"/>
      <c r="M50" s="32"/>
      <c r="N50" s="67"/>
      <c r="O50" s="88">
        <f t="shared" ref="O50:O52" si="144">O49+1</f>
        <v>44026</v>
      </c>
      <c r="P50" s="128">
        <v>0.2388888888888889</v>
      </c>
      <c r="Q50" s="85"/>
      <c r="R50" s="128">
        <v>0.8534722222222223</v>
      </c>
      <c r="S50" s="85"/>
      <c r="T50" s="128"/>
      <c r="U50" s="86"/>
      <c r="V50" s="128"/>
      <c r="W50" s="32"/>
    </row>
    <row r="51" spans="1:23" x14ac:dyDescent="0.25">
      <c r="A51" s="32"/>
      <c r="B51" s="87" t="s">
        <v>10</v>
      </c>
      <c r="C51" s="37" t="s">
        <v>7</v>
      </c>
      <c r="D51" s="37" t="s">
        <v>1</v>
      </c>
      <c r="E51" s="28"/>
      <c r="F51" s="80"/>
      <c r="G51" s="80"/>
      <c r="H51" s="80"/>
      <c r="I51" s="42"/>
      <c r="J51" s="32"/>
      <c r="K51" s="32"/>
      <c r="L51" s="28"/>
      <c r="M51" s="32"/>
      <c r="N51" s="67"/>
      <c r="O51" s="165">
        <f t="shared" si="144"/>
        <v>44027</v>
      </c>
      <c r="P51" s="128">
        <v>0.23958333333333334</v>
      </c>
      <c r="Q51" s="85"/>
      <c r="R51" s="128">
        <v>0.85277777777777775</v>
      </c>
      <c r="S51" s="85"/>
      <c r="T51" s="128"/>
      <c r="U51" s="86"/>
      <c r="V51" s="128"/>
      <c r="W51" s="32"/>
    </row>
    <row r="52" spans="1:23" x14ac:dyDescent="0.25">
      <c r="A52" s="32"/>
      <c r="B52" s="98" t="s">
        <v>116</v>
      </c>
      <c r="C52" s="42">
        <f>C15</f>
        <v>188.6</v>
      </c>
      <c r="D52" s="42">
        <f>D15</f>
        <v>303.521524</v>
      </c>
      <c r="E52" s="28"/>
      <c r="F52" s="80"/>
      <c r="G52" s="80"/>
      <c r="H52" s="80"/>
      <c r="I52" s="42"/>
      <c r="J52" s="32"/>
      <c r="K52" s="32"/>
      <c r="L52" s="28"/>
      <c r="M52" s="32"/>
      <c r="N52" s="67"/>
      <c r="O52" s="88">
        <f t="shared" si="144"/>
        <v>44028</v>
      </c>
      <c r="P52" s="128">
        <v>0.23958333333333334</v>
      </c>
      <c r="Q52" s="85"/>
      <c r="R52" s="128">
        <v>0.85277777777777775</v>
      </c>
      <c r="S52" s="85"/>
      <c r="T52" s="128"/>
      <c r="U52" s="86"/>
      <c r="V52" s="128"/>
      <c r="W52" s="32"/>
    </row>
    <row r="53" spans="1:23" x14ac:dyDescent="0.25">
      <c r="A53" s="32"/>
      <c r="B53" s="98" t="s">
        <v>117</v>
      </c>
      <c r="C53" s="42">
        <f>C21-C15</f>
        <v>204.20000000000002</v>
      </c>
      <c r="D53" s="42">
        <f>D21-D15</f>
        <v>328.62722800000006</v>
      </c>
      <c r="E53" s="28"/>
      <c r="F53" s="80"/>
      <c r="G53" s="80"/>
      <c r="H53" s="80"/>
      <c r="I53" s="42"/>
      <c r="J53" s="32"/>
      <c r="K53" s="32"/>
      <c r="L53" s="32"/>
      <c r="M53" s="58"/>
      <c r="N53" s="73"/>
      <c r="O53" s="32"/>
      <c r="P53" s="32"/>
      <c r="Q53" s="67"/>
      <c r="R53" s="32"/>
      <c r="S53" s="67"/>
      <c r="T53" s="32"/>
      <c r="U53" s="32"/>
      <c r="V53" s="28"/>
      <c r="W53" s="32"/>
    </row>
    <row r="54" spans="1:23" s="41" customFormat="1" x14ac:dyDescent="0.25">
      <c r="A54" s="103"/>
      <c r="B54" s="98" t="s">
        <v>118</v>
      </c>
      <c r="C54" s="42">
        <f>C29-C21</f>
        <v>204.2</v>
      </c>
      <c r="D54" s="42">
        <f>D29-D21</f>
        <v>328.62722799999995</v>
      </c>
      <c r="E54" s="49"/>
      <c r="F54" s="105"/>
      <c r="G54" s="105"/>
      <c r="H54" s="105"/>
      <c r="I54" s="106"/>
      <c r="J54" s="103"/>
      <c r="K54" s="103"/>
      <c r="L54" s="103"/>
      <c r="M54" s="103"/>
      <c r="N54" s="67"/>
      <c r="O54" s="103"/>
      <c r="P54" s="51" t="s">
        <v>80</v>
      </c>
      <c r="Q54" s="67"/>
      <c r="R54" s="103"/>
      <c r="S54" s="67"/>
      <c r="T54" s="103"/>
      <c r="U54" s="103"/>
      <c r="V54" s="103"/>
      <c r="W54" s="103"/>
    </row>
    <row r="55" spans="1:23" x14ac:dyDescent="0.25">
      <c r="A55" s="32"/>
      <c r="B55" s="98" t="s">
        <v>119</v>
      </c>
      <c r="C55" s="42">
        <f>C31-C29</f>
        <v>149.70000000000005</v>
      </c>
      <c r="D55" s="42">
        <f>D31-D29</f>
        <v>240.91819799999996</v>
      </c>
      <c r="E55" s="28"/>
      <c r="F55" s="80"/>
      <c r="G55" s="80"/>
      <c r="H55" s="80"/>
      <c r="I55" s="42"/>
      <c r="J55" s="32"/>
      <c r="K55" s="32"/>
      <c r="L55" s="32"/>
      <c r="M55" s="58"/>
      <c r="N55" s="73"/>
      <c r="O55" s="32"/>
      <c r="P55" s="32"/>
      <c r="Q55" s="67"/>
      <c r="R55" s="80"/>
      <c r="S55" s="67"/>
      <c r="T55" s="32"/>
      <c r="U55" s="32"/>
      <c r="V55" s="32"/>
      <c r="W55" s="32"/>
    </row>
    <row r="56" spans="1:23" x14ac:dyDescent="0.25">
      <c r="R56" s="82"/>
    </row>
    <row r="57" spans="1:23" x14ac:dyDescent="0.25">
      <c r="B57" s="5"/>
      <c r="C57" s="5"/>
      <c r="D57" s="5"/>
      <c r="E57" s="5"/>
      <c r="F57" s="83"/>
      <c r="G57" s="83"/>
      <c r="H57" s="83"/>
      <c r="I57" s="5"/>
      <c r="J57" s="5"/>
      <c r="K57" s="5"/>
      <c r="L57" s="5"/>
      <c r="M57" s="5"/>
      <c r="N57" s="70"/>
      <c r="R57" s="82"/>
    </row>
    <row r="58" spans="1:23" x14ac:dyDescent="0.25">
      <c r="R58" s="82"/>
    </row>
    <row r="59" spans="1:23" x14ac:dyDescent="0.25">
      <c r="A59" s="4"/>
      <c r="C59" s="47"/>
      <c r="R59" s="82"/>
    </row>
    <row r="60" spans="1:23" x14ac:dyDescent="0.25">
      <c r="C60" s="47"/>
      <c r="D60" s="112"/>
      <c r="E60" s="112"/>
      <c r="R60" s="82"/>
    </row>
    <row r="61" spans="1:23" x14ac:dyDescent="0.25">
      <c r="C61" s="47"/>
      <c r="R61" s="82"/>
    </row>
    <row r="62" spans="1:23" x14ac:dyDescent="0.25">
      <c r="C62" s="47"/>
      <c r="P62" s="7"/>
      <c r="Q62" s="70"/>
      <c r="R62" s="82"/>
    </row>
    <row r="63" spans="1:23" x14ac:dyDescent="0.25">
      <c r="C63" s="47"/>
      <c r="E63" s="33"/>
      <c r="F63" s="33"/>
      <c r="G63" s="33"/>
      <c r="H63" s="33"/>
      <c r="I63" s="33"/>
      <c r="M63" s="33"/>
      <c r="N63" s="33"/>
      <c r="P63" s="7"/>
      <c r="Q63" s="70"/>
      <c r="R63" s="82"/>
      <c r="S63" s="33"/>
    </row>
    <row r="64" spans="1:23" x14ac:dyDescent="0.25">
      <c r="C64" s="47"/>
      <c r="E64" s="33"/>
      <c r="F64" s="33"/>
      <c r="G64" s="33"/>
      <c r="H64" s="33"/>
      <c r="I64" s="33"/>
      <c r="M64" s="33"/>
      <c r="N64" s="33"/>
      <c r="P64" s="7"/>
      <c r="Q64" s="70"/>
      <c r="R64" s="82"/>
      <c r="S64" s="33"/>
    </row>
    <row r="65" spans="3:19" x14ac:dyDescent="0.25">
      <c r="C65" s="47"/>
      <c r="E65" s="33"/>
      <c r="F65" s="33"/>
      <c r="G65" s="33"/>
      <c r="H65" s="33"/>
      <c r="I65" s="33"/>
      <c r="M65" s="33"/>
      <c r="N65" s="33"/>
      <c r="P65" s="7"/>
      <c r="Q65" s="70"/>
      <c r="R65" s="82"/>
      <c r="S65" s="33"/>
    </row>
    <row r="66" spans="3:19" x14ac:dyDescent="0.25">
      <c r="C66" s="47"/>
      <c r="E66" s="33"/>
      <c r="F66" s="33"/>
      <c r="G66" s="33"/>
      <c r="H66" s="33"/>
      <c r="I66" s="33"/>
      <c r="M66" s="33"/>
      <c r="N66" s="33"/>
      <c r="R66" s="82"/>
      <c r="S66" s="33"/>
    </row>
    <row r="67" spans="3:19" x14ac:dyDescent="0.25">
      <c r="C67" s="47"/>
      <c r="E67" s="33"/>
      <c r="F67" s="33"/>
      <c r="G67" s="33"/>
      <c r="H67" s="33"/>
      <c r="I67" s="33"/>
      <c r="M67" s="33"/>
      <c r="N67" s="33"/>
      <c r="R67" s="82"/>
      <c r="S67" s="33"/>
    </row>
    <row r="68" spans="3:19" x14ac:dyDescent="0.25">
      <c r="C68" s="47"/>
      <c r="E68" s="33"/>
      <c r="F68" s="33"/>
      <c r="G68" s="33"/>
      <c r="H68" s="33"/>
      <c r="I68" s="33"/>
      <c r="M68" s="33"/>
      <c r="N68" s="33"/>
      <c r="R68" s="82"/>
      <c r="S68" s="33"/>
    </row>
    <row r="69" spans="3:19" x14ac:dyDescent="0.25">
      <c r="C69" s="47"/>
      <c r="E69" s="33"/>
      <c r="F69" s="33"/>
      <c r="G69" s="33"/>
      <c r="H69" s="33"/>
      <c r="I69" s="33"/>
      <c r="M69" s="33"/>
      <c r="N69" s="33"/>
      <c r="R69" s="82"/>
      <c r="S69" s="33"/>
    </row>
    <row r="70" spans="3:19" x14ac:dyDescent="0.25">
      <c r="C70" s="47"/>
      <c r="E70" s="33"/>
      <c r="F70" s="33"/>
      <c r="G70" s="33"/>
      <c r="H70" s="33"/>
      <c r="I70" s="33"/>
      <c r="M70" s="33"/>
      <c r="N70" s="33"/>
      <c r="R70" s="82"/>
      <c r="S70" s="33"/>
    </row>
    <row r="71" spans="3:19" x14ac:dyDescent="0.25">
      <c r="C71" s="47"/>
      <c r="E71" s="33"/>
      <c r="F71" s="33"/>
      <c r="G71" s="33"/>
      <c r="H71" s="33"/>
      <c r="I71" s="33"/>
      <c r="M71" s="33"/>
      <c r="N71" s="33"/>
      <c r="R71" s="82"/>
      <c r="S71" s="33"/>
    </row>
    <row r="72" spans="3:19" x14ac:dyDescent="0.25">
      <c r="C72" s="47"/>
      <c r="E72" s="33"/>
      <c r="F72" s="33"/>
      <c r="G72" s="33"/>
      <c r="H72" s="33"/>
      <c r="I72" s="33"/>
      <c r="M72" s="33"/>
      <c r="N72" s="33"/>
      <c r="R72" s="82"/>
      <c r="S72" s="33"/>
    </row>
  </sheetData>
  <mergeCells count="461">
    <mergeCell ref="G42:G43"/>
    <mergeCell ref="H42:H43"/>
    <mergeCell ref="H24:H25"/>
    <mergeCell ref="G26:G27"/>
    <mergeCell ref="H26:H27"/>
    <mergeCell ref="G28:G29"/>
    <mergeCell ref="H28:H29"/>
    <mergeCell ref="G30:G31"/>
    <mergeCell ref="H30:H31"/>
    <mergeCell ref="G32:G33"/>
    <mergeCell ref="H32:H33"/>
    <mergeCell ref="V25:V26"/>
    <mergeCell ref="W25:W26"/>
    <mergeCell ref="E24:E25"/>
    <mergeCell ref="E26:E27"/>
    <mergeCell ref="F24:F25"/>
    <mergeCell ref="F26:F27"/>
    <mergeCell ref="J26:J27"/>
    <mergeCell ref="J24:J25"/>
    <mergeCell ref="W23:W24"/>
    <mergeCell ref="W27:W28"/>
    <mergeCell ref="V23:V24"/>
    <mergeCell ref="G22:G23"/>
    <mergeCell ref="H22:H23"/>
    <mergeCell ref="G24:G25"/>
    <mergeCell ref="I28:I29"/>
    <mergeCell ref="W29:W30"/>
    <mergeCell ref="R29:R30"/>
    <mergeCell ref="R25:R26"/>
    <mergeCell ref="E30:E31"/>
    <mergeCell ref="M25:M26"/>
    <mergeCell ref="N25:N26"/>
    <mergeCell ref="O25:O26"/>
    <mergeCell ref="P25:P26"/>
    <mergeCell ref="Q25:Q26"/>
    <mergeCell ref="J18:J19"/>
    <mergeCell ref="I24:I25"/>
    <mergeCell ref="B25:B26"/>
    <mergeCell ref="D17:D18"/>
    <mergeCell ref="E16:E17"/>
    <mergeCell ref="E18:E19"/>
    <mergeCell ref="B21:B22"/>
    <mergeCell ref="B15:B16"/>
    <mergeCell ref="F14:F15"/>
    <mergeCell ref="H16:H17"/>
    <mergeCell ref="G18:G19"/>
    <mergeCell ref="H18:H19"/>
    <mergeCell ref="G20:G21"/>
    <mergeCell ref="H20:H21"/>
    <mergeCell ref="U3:V3"/>
    <mergeCell ref="M39:M40"/>
    <mergeCell ref="N39:N40"/>
    <mergeCell ref="O39:O40"/>
    <mergeCell ref="P37:P38"/>
    <mergeCell ref="Q37:Q38"/>
    <mergeCell ref="S37:S38"/>
    <mergeCell ref="S39:S40"/>
    <mergeCell ref="T39:T40"/>
    <mergeCell ref="S35:S36"/>
    <mergeCell ref="S3:T3"/>
    <mergeCell ref="U5:U6"/>
    <mergeCell ref="U11:U12"/>
    <mergeCell ref="U13:U14"/>
    <mergeCell ref="U15:U16"/>
    <mergeCell ref="U19:U20"/>
    <mergeCell ref="U21:U22"/>
    <mergeCell ref="U23:U24"/>
    <mergeCell ref="U27:U28"/>
    <mergeCell ref="M33:M34"/>
    <mergeCell ref="M35:M36"/>
    <mergeCell ref="N3:O3"/>
    <mergeCell ref="Q5:Q6"/>
    <mergeCell ref="S25:S26"/>
    <mergeCell ref="W31:W32"/>
    <mergeCell ref="W33:W34"/>
    <mergeCell ref="W35:W36"/>
    <mergeCell ref="W37:W38"/>
    <mergeCell ref="U29:U30"/>
    <mergeCell ref="U31:U32"/>
    <mergeCell ref="U33:U34"/>
    <mergeCell ref="U35:U36"/>
    <mergeCell ref="V37:V38"/>
    <mergeCell ref="V29:V30"/>
    <mergeCell ref="V33:V34"/>
    <mergeCell ref="V35:V36"/>
    <mergeCell ref="U37:U38"/>
    <mergeCell ref="V31:V32"/>
    <mergeCell ref="W5:W6"/>
    <mergeCell ref="W7:W8"/>
    <mergeCell ref="W9:W10"/>
    <mergeCell ref="W11:W12"/>
    <mergeCell ref="W13:W14"/>
    <mergeCell ref="W15:W16"/>
    <mergeCell ref="W19:W20"/>
    <mergeCell ref="W21:W22"/>
    <mergeCell ref="I18:I19"/>
    <mergeCell ref="K16:K17"/>
    <mergeCell ref="N19:N20"/>
    <mergeCell ref="N21:N22"/>
    <mergeCell ref="P19:P20"/>
    <mergeCell ref="P21:P22"/>
    <mergeCell ref="V21:V22"/>
    <mergeCell ref="J22:J23"/>
    <mergeCell ref="M23:M24"/>
    <mergeCell ref="M21:M22"/>
    <mergeCell ref="W17:W18"/>
    <mergeCell ref="I16:I17"/>
    <mergeCell ref="J16:J17"/>
    <mergeCell ref="U17:U18"/>
    <mergeCell ref="S21:S22"/>
    <mergeCell ref="S23:S24"/>
    <mergeCell ref="T35:T36"/>
    <mergeCell ref="T37:T38"/>
    <mergeCell ref="T21:T22"/>
    <mergeCell ref="B39:B40"/>
    <mergeCell ref="C39:C40"/>
    <mergeCell ref="D39:D40"/>
    <mergeCell ref="E38:E39"/>
    <mergeCell ref="F38:F39"/>
    <mergeCell ref="I38:I39"/>
    <mergeCell ref="J38:J39"/>
    <mergeCell ref="K38:K39"/>
    <mergeCell ref="L38:L39"/>
    <mergeCell ref="T25:T26"/>
    <mergeCell ref="T31:T32"/>
    <mergeCell ref="T33:T34"/>
    <mergeCell ref="E36:E37"/>
    <mergeCell ref="D37:D38"/>
    <mergeCell ref="C29:C30"/>
    <mergeCell ref="C31:C32"/>
    <mergeCell ref="C33:C34"/>
    <mergeCell ref="C35:C36"/>
    <mergeCell ref="D29:D30"/>
    <mergeCell ref="D31:D32"/>
    <mergeCell ref="E32:E33"/>
    <mergeCell ref="S27:S28"/>
    <mergeCell ref="S29:S30"/>
    <mergeCell ref="K20:K21"/>
    <mergeCell ref="M29:M30"/>
    <mergeCell ref="L28:L29"/>
    <mergeCell ref="L30:L31"/>
    <mergeCell ref="K30:K31"/>
    <mergeCell ref="U25:U26"/>
    <mergeCell ref="M19:M20"/>
    <mergeCell ref="L20:L21"/>
    <mergeCell ref="K24:K25"/>
    <mergeCell ref="K26:K27"/>
    <mergeCell ref="L24:L25"/>
    <mergeCell ref="L26:L27"/>
    <mergeCell ref="L22:L23"/>
    <mergeCell ref="K22:K23"/>
    <mergeCell ref="M27:M28"/>
    <mergeCell ref="R31:R32"/>
    <mergeCell ref="O23:O24"/>
    <mergeCell ref="P29:P30"/>
    <mergeCell ref="P31:P32"/>
    <mergeCell ref="Q23:Q24"/>
    <mergeCell ref="Q27:Q28"/>
    <mergeCell ref="Q29:Q30"/>
    <mergeCell ref="Q7:Q8"/>
    <mergeCell ref="Q9:Q10"/>
    <mergeCell ref="Q11:Q12"/>
    <mergeCell ref="Q13:Q14"/>
    <mergeCell ref="Q15:Q16"/>
    <mergeCell ref="Q19:Q20"/>
    <mergeCell ref="Q21:Q22"/>
    <mergeCell ref="Q3:R3"/>
    <mergeCell ref="N7:N8"/>
    <mergeCell ref="N9:N10"/>
    <mergeCell ref="N11:N12"/>
    <mergeCell ref="N13:N14"/>
    <mergeCell ref="N15:N16"/>
    <mergeCell ref="P17:P18"/>
    <mergeCell ref="R21:R22"/>
    <mergeCell ref="O13:O14"/>
    <mergeCell ref="O15:O16"/>
    <mergeCell ref="O19:O20"/>
    <mergeCell ref="Q17:Q18"/>
    <mergeCell ref="U7:U8"/>
    <mergeCell ref="U9:U10"/>
    <mergeCell ref="N17:N18"/>
    <mergeCell ref="O17:O18"/>
    <mergeCell ref="I3:J3"/>
    <mergeCell ref="I14:I15"/>
    <mergeCell ref="K28:K29"/>
    <mergeCell ref="J14:J15"/>
    <mergeCell ref="O27:O28"/>
    <mergeCell ref="O29:O30"/>
    <mergeCell ref="P13:P14"/>
    <mergeCell ref="P15:P16"/>
    <mergeCell ref="P7:P8"/>
    <mergeCell ref="P9:P10"/>
    <mergeCell ref="P11:P12"/>
    <mergeCell ref="O11:O12"/>
    <mergeCell ref="J6:J7"/>
    <mergeCell ref="J8:J9"/>
    <mergeCell ref="J10:J11"/>
    <mergeCell ref="O5:O6"/>
    <mergeCell ref="I30:I31"/>
    <mergeCell ref="J20:J21"/>
    <mergeCell ref="J28:J29"/>
    <mergeCell ref="J30:J31"/>
    <mergeCell ref="A27:A28"/>
    <mergeCell ref="C25:C26"/>
    <mergeCell ref="D25:D26"/>
    <mergeCell ref="F28:F29"/>
    <mergeCell ref="A35:A36"/>
    <mergeCell ref="A37:A38"/>
    <mergeCell ref="A29:A30"/>
    <mergeCell ref="A31:A32"/>
    <mergeCell ref="A33:A34"/>
    <mergeCell ref="B29:B30"/>
    <mergeCell ref="B31:B32"/>
    <mergeCell ref="B33:B34"/>
    <mergeCell ref="B35:B36"/>
    <mergeCell ref="B37:B38"/>
    <mergeCell ref="A23:A24"/>
    <mergeCell ref="B23:B24"/>
    <mergeCell ref="B17:B18"/>
    <mergeCell ref="A25:A26"/>
    <mergeCell ref="A17:A18"/>
    <mergeCell ref="C2:I2"/>
    <mergeCell ref="G3:H3"/>
    <mergeCell ref="G6:G7"/>
    <mergeCell ref="A19:A20"/>
    <mergeCell ref="A1:B1"/>
    <mergeCell ref="A5:A6"/>
    <mergeCell ref="A7:A8"/>
    <mergeCell ref="A9:A10"/>
    <mergeCell ref="A11:A12"/>
    <mergeCell ref="A13:A14"/>
    <mergeCell ref="A15:A16"/>
    <mergeCell ref="B5:B6"/>
    <mergeCell ref="A21:A22"/>
    <mergeCell ref="N29:N30"/>
    <mergeCell ref="N31:N32"/>
    <mergeCell ref="N23:N24"/>
    <mergeCell ref="N27:N28"/>
    <mergeCell ref="O31:O32"/>
    <mergeCell ref="P23:P24"/>
    <mergeCell ref="P27:P28"/>
    <mergeCell ref="P33:P34"/>
    <mergeCell ref="B27:B28"/>
    <mergeCell ref="I26:I27"/>
    <mergeCell ref="C11:C12"/>
    <mergeCell ref="C15:C16"/>
    <mergeCell ref="D15:D16"/>
    <mergeCell ref="E8:E9"/>
    <mergeCell ref="C13:C14"/>
    <mergeCell ref="C21:C22"/>
    <mergeCell ref="B7:B8"/>
    <mergeCell ref="B9:B10"/>
    <mergeCell ref="B11:B12"/>
    <mergeCell ref="B13:B14"/>
    <mergeCell ref="B19:B20"/>
    <mergeCell ref="C17:C18"/>
    <mergeCell ref="K10:K11"/>
    <mergeCell ref="I8:I9"/>
    <mergeCell ref="M13:M14"/>
    <mergeCell ref="M15:M16"/>
    <mergeCell ref="K18:K19"/>
    <mergeCell ref="L16:L17"/>
    <mergeCell ref="D9:D10"/>
    <mergeCell ref="C7:C8"/>
    <mergeCell ref="D27:D28"/>
    <mergeCell ref="D13:D14"/>
    <mergeCell ref="D21:D22"/>
    <mergeCell ref="E22:E23"/>
    <mergeCell ref="E28:E29"/>
    <mergeCell ref="E14:E15"/>
    <mergeCell ref="C27:C28"/>
    <mergeCell ref="E20:E21"/>
    <mergeCell ref="E10:E11"/>
    <mergeCell ref="C23:C24"/>
    <mergeCell ref="C19:C20"/>
    <mergeCell ref="E12:E13"/>
    <mergeCell ref="D19:D20"/>
    <mergeCell ref="D11:D12"/>
    <mergeCell ref="D23:D24"/>
    <mergeCell ref="C9:C10"/>
    <mergeCell ref="I10:I11"/>
    <mergeCell ref="I12:I13"/>
    <mergeCell ref="F36:F37"/>
    <mergeCell ref="F30:F31"/>
    <mergeCell ref="O33:O34"/>
    <mergeCell ref="O37:O38"/>
    <mergeCell ref="M5:M6"/>
    <mergeCell ref="J12:J13"/>
    <mergeCell ref="F20:F21"/>
    <mergeCell ref="F16:F17"/>
    <mergeCell ref="F18:F19"/>
    <mergeCell ref="I20:I21"/>
    <mergeCell ref="L8:L9"/>
    <mergeCell ref="L10:L11"/>
    <mergeCell ref="L12:L13"/>
    <mergeCell ref="L14:L15"/>
    <mergeCell ref="I6:I7"/>
    <mergeCell ref="H6:H7"/>
    <mergeCell ref="G8:G9"/>
    <mergeCell ref="H8:H9"/>
    <mergeCell ref="G10:G11"/>
    <mergeCell ref="H10:H11"/>
    <mergeCell ref="G12:G13"/>
    <mergeCell ref="K8:K9"/>
    <mergeCell ref="M37:M38"/>
    <mergeCell ref="R33:R34"/>
    <mergeCell ref="I36:I37"/>
    <mergeCell ref="I32:I33"/>
    <mergeCell ref="J36:J37"/>
    <mergeCell ref="L34:L35"/>
    <mergeCell ref="L32:L33"/>
    <mergeCell ref="K34:K35"/>
    <mergeCell ref="K36:K37"/>
    <mergeCell ref="K32:K33"/>
    <mergeCell ref="R37:R38"/>
    <mergeCell ref="N35:N36"/>
    <mergeCell ref="N37:N38"/>
    <mergeCell ref="Q31:Q32"/>
    <mergeCell ref="Q33:Q34"/>
    <mergeCell ref="Q35:Q36"/>
    <mergeCell ref="R27:R28"/>
    <mergeCell ref="T27:T28"/>
    <mergeCell ref="O21:O22"/>
    <mergeCell ref="F22:F23"/>
    <mergeCell ref="T15:T16"/>
    <mergeCell ref="T19:T20"/>
    <mergeCell ref="S13:S14"/>
    <mergeCell ref="S15:S16"/>
    <mergeCell ref="S19:S20"/>
    <mergeCell ref="R17:R18"/>
    <mergeCell ref="S17:S18"/>
    <mergeCell ref="I22:I23"/>
    <mergeCell ref="R13:R14"/>
    <mergeCell ref="R15:R16"/>
    <mergeCell ref="R19:R20"/>
    <mergeCell ref="T17:T18"/>
    <mergeCell ref="H12:H13"/>
    <mergeCell ref="G14:G15"/>
    <mergeCell ref="H14:H15"/>
    <mergeCell ref="G16:G17"/>
    <mergeCell ref="M17:M18"/>
    <mergeCell ref="K12:K13"/>
    <mergeCell ref="K14:K15"/>
    <mergeCell ref="L18:L19"/>
    <mergeCell ref="V7:V8"/>
    <mergeCell ref="V19:V20"/>
    <mergeCell ref="F32:F33"/>
    <mergeCell ref="S31:S32"/>
    <mergeCell ref="S33:S34"/>
    <mergeCell ref="V17:V18"/>
    <mergeCell ref="V15:V16"/>
    <mergeCell ref="V13:V14"/>
    <mergeCell ref="V27:V28"/>
    <mergeCell ref="T11:T12"/>
    <mergeCell ref="T29:T30"/>
    <mergeCell ref="T23:T24"/>
    <mergeCell ref="F34:F35"/>
    <mergeCell ref="S9:S10"/>
    <mergeCell ref="S11:S12"/>
    <mergeCell ref="F10:F11"/>
    <mergeCell ref="R7:R8"/>
    <mergeCell ref="R9:R10"/>
    <mergeCell ref="R11:R12"/>
    <mergeCell ref="O7:O8"/>
    <mergeCell ref="M7:M8"/>
    <mergeCell ref="M9:M10"/>
    <mergeCell ref="T13:T14"/>
    <mergeCell ref="R23:R24"/>
    <mergeCell ref="C3:D3"/>
    <mergeCell ref="E3:F3"/>
    <mergeCell ref="P2:P3"/>
    <mergeCell ref="P5:P6"/>
    <mergeCell ref="L6:L7"/>
    <mergeCell ref="K6:K7"/>
    <mergeCell ref="V9:V10"/>
    <mergeCell ref="V11:V12"/>
    <mergeCell ref="F6:F7"/>
    <mergeCell ref="F8:F9"/>
    <mergeCell ref="M11:M12"/>
    <mergeCell ref="F12:F13"/>
    <mergeCell ref="T7:T8"/>
    <mergeCell ref="T9:T10"/>
    <mergeCell ref="T5:T6"/>
    <mergeCell ref="D5:D6"/>
    <mergeCell ref="D7:D8"/>
    <mergeCell ref="V5:V6"/>
    <mergeCell ref="E6:E7"/>
    <mergeCell ref="C5:C6"/>
    <mergeCell ref="R5:R6"/>
    <mergeCell ref="O9:O10"/>
    <mergeCell ref="S5:S6"/>
    <mergeCell ref="S7:S8"/>
    <mergeCell ref="U39:U40"/>
    <mergeCell ref="V39:V40"/>
    <mergeCell ref="R43:R44"/>
    <mergeCell ref="P39:P40"/>
    <mergeCell ref="P41:P42"/>
    <mergeCell ref="Q39:Q40"/>
    <mergeCell ref="W41:W42"/>
    <mergeCell ref="M43:M44"/>
    <mergeCell ref="N43:N44"/>
    <mergeCell ref="O43:O44"/>
    <mergeCell ref="S43:S44"/>
    <mergeCell ref="T43:T44"/>
    <mergeCell ref="U43:U44"/>
    <mergeCell ref="V43:V44"/>
    <mergeCell ref="W43:W44"/>
    <mergeCell ref="Q43:Q44"/>
    <mergeCell ref="S41:S42"/>
    <mergeCell ref="T41:T42"/>
    <mergeCell ref="N41:N42"/>
    <mergeCell ref="O41:O42"/>
    <mergeCell ref="W39:W40"/>
    <mergeCell ref="A39:A40"/>
    <mergeCell ref="A41:A42"/>
    <mergeCell ref="A43:A44"/>
    <mergeCell ref="C41:C42"/>
    <mergeCell ref="D41:D42"/>
    <mergeCell ref="C43:C44"/>
    <mergeCell ref="D43:D44"/>
    <mergeCell ref="U41:U42"/>
    <mergeCell ref="V41:V42"/>
    <mergeCell ref="E40:E41"/>
    <mergeCell ref="F40:F41"/>
    <mergeCell ref="I40:I41"/>
    <mergeCell ref="J40:J41"/>
    <mergeCell ref="K40:K41"/>
    <mergeCell ref="L40:L41"/>
    <mergeCell ref="E42:E43"/>
    <mergeCell ref="F42:F43"/>
    <mergeCell ref="I42:I43"/>
    <mergeCell ref="J42:J43"/>
    <mergeCell ref="K42:K43"/>
    <mergeCell ref="R39:R40"/>
    <mergeCell ref="Q41:Q42"/>
    <mergeCell ref="R41:R42"/>
    <mergeCell ref="M41:M42"/>
    <mergeCell ref="B41:B42"/>
    <mergeCell ref="B43:B44"/>
    <mergeCell ref="L42:L43"/>
    <mergeCell ref="R35:R36"/>
    <mergeCell ref="P35:P36"/>
    <mergeCell ref="O35:O36"/>
    <mergeCell ref="M31:M32"/>
    <mergeCell ref="I34:I35"/>
    <mergeCell ref="D35:D36"/>
    <mergeCell ref="G34:G35"/>
    <mergeCell ref="H34:H35"/>
    <mergeCell ref="G36:G37"/>
    <mergeCell ref="H36:H37"/>
    <mergeCell ref="G38:G39"/>
    <mergeCell ref="H38:H39"/>
    <mergeCell ref="G40:G41"/>
    <mergeCell ref="H40:H41"/>
    <mergeCell ref="L36:L37"/>
    <mergeCell ref="J32:J33"/>
    <mergeCell ref="J34:J35"/>
    <mergeCell ref="N33:N34"/>
    <mergeCell ref="C37:C38"/>
    <mergeCell ref="D33:D34"/>
    <mergeCell ref="E34:E35"/>
  </mergeCells>
  <phoneticPr fontId="0" type="noConversion"/>
  <conditionalFormatting sqref="R21:R26 R17:R18 R7:R14">
    <cfRule type="cellIs" dxfId="7" priority="14" operator="lessThan">
      <formula>$T7</formula>
    </cfRule>
  </conditionalFormatting>
  <conditionalFormatting sqref="Q7:Q26">
    <cfRule type="cellIs" dxfId="6" priority="13" operator="lessThan">
      <formula>$T7</formula>
    </cfRule>
  </conditionalFormatting>
  <conditionalFormatting sqref="O33:O44 O7:O30">
    <cfRule type="cellIs" dxfId="5" priority="4" stopIfTrue="1" operator="greaterThan">
      <formula>$V7</formula>
    </cfRule>
    <cfRule type="cellIs" dxfId="4" priority="5" stopIfTrue="1" operator="greaterThan">
      <formula>$V7-(1/24)</formula>
    </cfRule>
    <cfRule type="cellIs" dxfId="3" priority="6" stopIfTrue="1" operator="greaterThan">
      <formula>$V7-(2/24)</formula>
    </cfRule>
  </conditionalFormatting>
  <conditionalFormatting sqref="N33:N44 N7:N30">
    <cfRule type="cellIs" dxfId="2" priority="1" operator="greaterThan">
      <formula>$V7</formula>
    </cfRule>
    <cfRule type="cellIs" dxfId="1" priority="2" operator="greaterThan">
      <formula>$V7-(1/24)</formula>
    </cfRule>
    <cfRule type="cellIs" dxfId="0" priority="3" operator="greaterThan">
      <formula>V7-(2/24)</formula>
    </cfRule>
  </conditionalFormatting>
  <hyperlinks>
    <hyperlink ref="A59" r:id="rId1" display="timfeldman@mindspring.com" xr:uid="{00000000-0004-0000-0000-000000000000}"/>
  </hyperlinks>
  <pageMargins left="0.7" right="0.7" top="0.75" bottom="0.75" header="0.3" footer="0.3"/>
  <pageSetup scale="84" orientation="landscape" r:id="rId2"/>
  <headerFooter>
    <oddHeader>&amp;CRiding Plan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7471D-7915-F045-B667-F121198F3AA9}">
  <dimension ref="A1:D15"/>
  <sheetViews>
    <sheetView workbookViewId="0">
      <selection activeCell="A15" sqref="A15:E15"/>
    </sheetView>
  </sheetViews>
  <sheetFormatPr defaultColWidth="11.42578125" defaultRowHeight="15" x14ac:dyDescent="0.25"/>
  <cols>
    <col min="1" max="1" width="8.85546875" customWidth="1"/>
    <col min="2" max="2" width="5.140625" style="117" bestFit="1" customWidth="1"/>
    <col min="3" max="4" width="5.7109375" bestFit="1" customWidth="1"/>
  </cols>
  <sheetData>
    <row r="1" spans="1:4" x14ac:dyDescent="0.25">
      <c r="C1" t="s">
        <v>90</v>
      </c>
      <c r="D1" t="s">
        <v>91</v>
      </c>
    </row>
    <row r="2" spans="1:4" x14ac:dyDescent="0.25">
      <c r="A2" t="str">
        <f>Planner!B7</f>
        <v>Platteville</v>
      </c>
      <c r="B2" s="117">
        <f>Planner!N7</f>
        <v>44389.316071160792</v>
      </c>
      <c r="C2" s="114">
        <f>Planner!O7</f>
        <v>44389.316071160792</v>
      </c>
      <c r="D2" s="114">
        <f>Planner!R7</f>
        <v>44389.316071160792</v>
      </c>
    </row>
    <row r="3" spans="1:4" x14ac:dyDescent="0.25">
      <c r="A3" t="str">
        <f>Planner!B9</f>
        <v>Carter Lake</v>
      </c>
      <c r="B3" s="117">
        <f>Planner!N9</f>
        <v>44389.40773759962</v>
      </c>
      <c r="C3" s="114">
        <f>Planner!O9</f>
        <v>44389.40773759962</v>
      </c>
      <c r="D3" s="114">
        <f>Planner!R9</f>
        <v>44389.40773759962</v>
      </c>
    </row>
    <row r="4" spans="1:4" x14ac:dyDescent="0.25">
      <c r="A4" t="str">
        <f>Planner!B11</f>
        <v>Horsetooth</v>
      </c>
      <c r="B4" s="117">
        <f>Planner!N11</f>
        <v>44389.45743985704</v>
      </c>
      <c r="C4" s="114">
        <f>Planner!O11</f>
        <v>44389.45743985704</v>
      </c>
      <c r="D4" s="114">
        <f>Planner!R11</f>
        <v>44389.45743985704</v>
      </c>
    </row>
    <row r="5" spans="1:4" x14ac:dyDescent="0.25">
      <c r="A5" t="str">
        <f>Planner!B13</f>
        <v>Cameron Pass</v>
      </c>
      <c r="B5" s="117">
        <f>Planner!N13</f>
        <v>44389.679165496418</v>
      </c>
      <c r="C5" s="114">
        <f>Planner!O13</f>
        <v>44389.679165496418</v>
      </c>
      <c r="D5" s="114">
        <f>Planner!R13</f>
        <v>44389.679165496418</v>
      </c>
    </row>
    <row r="6" spans="1:4" x14ac:dyDescent="0.25">
      <c r="A6" t="str">
        <f>Planner!B15</f>
        <v>Walden</v>
      </c>
      <c r="B6" s="117">
        <f>Planner!N15</f>
        <v>44389.769641462015</v>
      </c>
      <c r="C6" s="114">
        <f>Planner!O15</f>
        <v>44389.769641462015</v>
      </c>
      <c r="D6" s="114">
        <f>Planner!R15</f>
        <v>44389.769641462015</v>
      </c>
    </row>
    <row r="7" spans="1:4" x14ac:dyDescent="0.25">
      <c r="A7" t="str">
        <f>Planner!B17</f>
        <v>Saratoga</v>
      </c>
      <c r="B7" s="117">
        <f>Planner!N17</f>
        <v>44389.966664781838</v>
      </c>
      <c r="C7" s="114">
        <f>Planner!O17</f>
        <v>44389.966664781838</v>
      </c>
      <c r="D7" s="114">
        <f>Planner!R17</f>
        <v>44389.966664781838</v>
      </c>
    </row>
    <row r="8" spans="1:4" x14ac:dyDescent="0.25">
      <c r="A8" t="str">
        <f>Planner!B19</f>
        <v>Laramie</v>
      </c>
      <c r="B8" s="117">
        <f>Planner!N19</f>
        <v>44390.189580894446</v>
      </c>
      <c r="C8" s="114">
        <f>Planner!O19</f>
        <v>44390.189580894446</v>
      </c>
      <c r="D8" s="114">
        <f>Planner!R19</f>
        <v>44390.189580894446</v>
      </c>
    </row>
    <row r="9" spans="1:4" x14ac:dyDescent="0.25">
      <c r="A9" t="str">
        <f>Planner!B21</f>
        <v>Walden</v>
      </c>
      <c r="B9" s="117">
        <f>Planner!N21</f>
        <v>44390.377378046724</v>
      </c>
      <c r="C9" s="114">
        <f>Planner!O21</f>
        <v>44390.377378046724</v>
      </c>
      <c r="D9" s="114">
        <f>Planner!R21</f>
        <v>44390.377378046724</v>
      </c>
    </row>
    <row r="10" spans="1:4" x14ac:dyDescent="0.25">
      <c r="A10" t="str">
        <f>Planner!B23</f>
        <v>Steamboat Springs</v>
      </c>
      <c r="B10" s="117">
        <f>Planner!N23</f>
        <v>44390.544341917448</v>
      </c>
      <c r="C10" s="114">
        <f>Planner!O23</f>
        <v>44390.544341917448</v>
      </c>
      <c r="D10" s="114">
        <f>Planner!R23</f>
        <v>44390.544341917448</v>
      </c>
    </row>
    <row r="11" spans="1:4" x14ac:dyDescent="0.25">
      <c r="A11" t="str">
        <f>Planner!B25</f>
        <v>Yampa</v>
      </c>
      <c r="B11" s="117">
        <f>Planner!N25</f>
        <v>44390.62707980704</v>
      </c>
      <c r="C11" s="114">
        <f>Planner!O25</f>
        <v>44390.62707980704</v>
      </c>
      <c r="D11" s="114">
        <f>Planner!R25</f>
        <v>44390.62707980704</v>
      </c>
    </row>
    <row r="12" spans="1:4" x14ac:dyDescent="0.25">
      <c r="A12" t="str">
        <f>Planner!B27</f>
        <v>Hot Sulphur Springs</v>
      </c>
      <c r="B12" s="117">
        <f>Planner!N27</f>
        <v>44390.80475793685</v>
      </c>
      <c r="C12" s="114">
        <f>Planner!O27</f>
        <v>44390.80475793685</v>
      </c>
      <c r="D12" s="114">
        <f>Planner!R27</f>
        <v>44390.80475793685</v>
      </c>
    </row>
    <row r="13" spans="1:4" x14ac:dyDescent="0.25">
      <c r="A13" t="str">
        <f>Planner!B27</f>
        <v>Hot Sulphur Springs</v>
      </c>
      <c r="B13" s="117">
        <f>Planner!N27</f>
        <v>44390.80475793685</v>
      </c>
      <c r="C13" s="114">
        <f>Planner!O27</f>
        <v>44390.80475793685</v>
      </c>
      <c r="D13" s="114">
        <f>Planner!R27</f>
        <v>44390.80475793685</v>
      </c>
    </row>
    <row r="14" spans="1:4" x14ac:dyDescent="0.25">
      <c r="A14" t="str">
        <f>Planner!B29</f>
        <v>Walden</v>
      </c>
      <c r="B14" s="117">
        <f>Planner!N29</f>
        <v>44390.985114631432</v>
      </c>
      <c r="C14" s="114">
        <f>Planner!O29</f>
        <v>44390.985114631432</v>
      </c>
      <c r="D14" s="114">
        <f>Planner!R29</f>
        <v>44390.985114631432</v>
      </c>
    </row>
    <row r="15" spans="1:4" x14ac:dyDescent="0.25">
      <c r="C15" s="114"/>
      <c r="D15" s="114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522CA-A784-F947-AE20-3F43257345E9}">
  <dimension ref="A1:D52"/>
  <sheetViews>
    <sheetView workbookViewId="0">
      <selection activeCell="B17" sqref="B17"/>
    </sheetView>
  </sheetViews>
  <sheetFormatPr defaultColWidth="8.85546875" defaultRowHeight="15" x14ac:dyDescent="0.25"/>
  <cols>
    <col min="1" max="1" width="3.7109375" customWidth="1"/>
    <col min="2" max="2" width="110.7109375" customWidth="1"/>
  </cols>
  <sheetData>
    <row r="1" spans="2:2" x14ac:dyDescent="0.25">
      <c r="B1" s="109" t="s">
        <v>73</v>
      </c>
    </row>
    <row r="2" spans="2:2" x14ac:dyDescent="0.25">
      <c r="B2" t="s">
        <v>74</v>
      </c>
    </row>
    <row r="3" spans="2:2" x14ac:dyDescent="0.25">
      <c r="B3" s="15" t="s">
        <v>75</v>
      </c>
    </row>
    <row r="4" spans="2:2" x14ac:dyDescent="0.25">
      <c r="B4" s="15" t="s">
        <v>76</v>
      </c>
    </row>
    <row r="5" spans="2:2" x14ac:dyDescent="0.25">
      <c r="B5" s="15" t="s">
        <v>77</v>
      </c>
    </row>
    <row r="7" spans="2:2" ht="30" x14ac:dyDescent="0.25">
      <c r="B7" s="14" t="s">
        <v>42</v>
      </c>
    </row>
    <row r="8" spans="2:2" x14ac:dyDescent="0.25">
      <c r="B8" s="15" t="s">
        <v>22</v>
      </c>
    </row>
    <row r="9" spans="2:2" x14ac:dyDescent="0.25">
      <c r="B9" s="15" t="s">
        <v>23</v>
      </c>
    </row>
    <row r="10" spans="2:2" x14ac:dyDescent="0.25">
      <c r="B10" s="15" t="s">
        <v>24</v>
      </c>
    </row>
    <row r="11" spans="2:2" x14ac:dyDescent="0.25">
      <c r="B11" s="15" t="s">
        <v>25</v>
      </c>
    </row>
    <row r="12" spans="2:2" x14ac:dyDescent="0.25">
      <c r="B12" s="15" t="s">
        <v>57</v>
      </c>
    </row>
    <row r="13" spans="2:2" x14ac:dyDescent="0.25">
      <c r="B13" s="15"/>
    </row>
    <row r="14" spans="2:2" x14ac:dyDescent="0.25">
      <c r="B14" s="16" t="s">
        <v>26</v>
      </c>
    </row>
    <row r="15" spans="2:2" x14ac:dyDescent="0.25">
      <c r="B15" t="s">
        <v>81</v>
      </c>
    </row>
    <row r="16" spans="2:2" x14ac:dyDescent="0.25">
      <c r="B16" t="s">
        <v>85</v>
      </c>
    </row>
    <row r="17" spans="1:2" x14ac:dyDescent="0.25">
      <c r="B17" t="s">
        <v>82</v>
      </c>
    </row>
    <row r="18" spans="1:2" ht="15" customHeight="1" x14ac:dyDescent="0.25">
      <c r="B18" s="97" t="s">
        <v>83</v>
      </c>
    </row>
    <row r="19" spans="1:2" x14ac:dyDescent="0.25">
      <c r="B19" s="97"/>
    </row>
    <row r="20" spans="1:2" x14ac:dyDescent="0.25">
      <c r="B20" s="18" t="s">
        <v>27</v>
      </c>
    </row>
    <row r="21" spans="1:2" ht="32.1" customHeight="1" x14ac:dyDescent="0.25">
      <c r="B21" s="14" t="s">
        <v>65</v>
      </c>
    </row>
    <row r="22" spans="1:2" x14ac:dyDescent="0.25">
      <c r="A22" s="19"/>
      <c r="B22" t="s">
        <v>28</v>
      </c>
    </row>
    <row r="23" spans="1:2" x14ac:dyDescent="0.25">
      <c r="A23" s="20"/>
      <c r="B23" t="s">
        <v>29</v>
      </c>
    </row>
    <row r="24" spans="1:2" x14ac:dyDescent="0.25">
      <c r="A24" s="21"/>
      <c r="B24" t="s">
        <v>30</v>
      </c>
    </row>
    <row r="25" spans="1:2" ht="32.1" customHeight="1" x14ac:dyDescent="0.25">
      <c r="B25" s="14" t="s">
        <v>66</v>
      </c>
    </row>
    <row r="26" spans="1:2" x14ac:dyDescent="0.25">
      <c r="A26" s="19"/>
      <c r="B26" t="s">
        <v>43</v>
      </c>
    </row>
    <row r="28" spans="1:2" x14ac:dyDescent="0.25">
      <c r="B28" s="16" t="s">
        <v>31</v>
      </c>
    </row>
    <row r="29" spans="1:2" x14ac:dyDescent="0.25">
      <c r="B29" t="s">
        <v>32</v>
      </c>
    </row>
    <row r="30" spans="1:2" x14ac:dyDescent="0.25">
      <c r="B30" t="s">
        <v>58</v>
      </c>
    </row>
    <row r="31" spans="1:2" x14ac:dyDescent="0.25">
      <c r="B31" s="104" t="s">
        <v>67</v>
      </c>
    </row>
    <row r="32" spans="1:2" x14ac:dyDescent="0.25">
      <c r="B32" s="104"/>
    </row>
    <row r="33" spans="2:4" x14ac:dyDescent="0.25">
      <c r="B33" s="108" t="s">
        <v>71</v>
      </c>
    </row>
    <row r="34" spans="2:4" x14ac:dyDescent="0.25">
      <c r="B34" s="104" t="s">
        <v>72</v>
      </c>
    </row>
    <row r="36" spans="2:4" x14ac:dyDescent="0.25">
      <c r="B36" s="16" t="s">
        <v>33</v>
      </c>
    </row>
    <row r="37" spans="2:4" x14ac:dyDescent="0.25">
      <c r="B37" t="s">
        <v>59</v>
      </c>
    </row>
    <row r="38" spans="2:4" x14ac:dyDescent="0.25">
      <c r="B38" s="14" t="s">
        <v>40</v>
      </c>
    </row>
    <row r="40" spans="2:4" x14ac:dyDescent="0.25">
      <c r="B40" s="22" t="s">
        <v>35</v>
      </c>
    </row>
    <row r="41" spans="2:4" x14ac:dyDescent="0.25">
      <c r="B41" s="61" t="s">
        <v>69</v>
      </c>
    </row>
    <row r="42" spans="2:4" x14ac:dyDescent="0.25">
      <c r="B42" s="61" t="s">
        <v>68</v>
      </c>
    </row>
    <row r="44" spans="2:4" x14ac:dyDescent="0.25">
      <c r="B44" s="16" t="s">
        <v>34</v>
      </c>
    </row>
    <row r="45" spans="2:4" x14ac:dyDescent="0.25">
      <c r="B45" s="27" t="s">
        <v>45</v>
      </c>
    </row>
    <row r="47" spans="2:4" x14ac:dyDescent="0.25">
      <c r="B47" s="23" t="s">
        <v>11</v>
      </c>
      <c r="C47" s="2"/>
      <c r="D47" s="1"/>
    </row>
    <row r="48" spans="2:4" x14ac:dyDescent="0.25">
      <c r="B48" s="5" t="s">
        <v>41</v>
      </c>
      <c r="C48" s="60"/>
      <c r="D48" s="59"/>
    </row>
    <row r="49" spans="2:4" x14ac:dyDescent="0.25">
      <c r="B49" s="101" t="s">
        <v>53</v>
      </c>
      <c r="C49" s="60"/>
      <c r="D49" s="59"/>
    </row>
    <row r="51" spans="2:4" x14ac:dyDescent="0.25">
      <c r="B51" s="23" t="s">
        <v>47</v>
      </c>
    </row>
    <row r="52" spans="2:4" x14ac:dyDescent="0.25">
      <c r="B52" s="24" t="s">
        <v>44</v>
      </c>
    </row>
  </sheetData>
  <sheetProtection sheet="1" objects="1" scenarios="1"/>
  <hyperlinks>
    <hyperlink ref="B52" r:id="rId1" xr:uid="{84C2B3AE-E679-2741-BC91-FCEE36F94EB4}"/>
    <hyperlink ref="B49" r:id="rId2" xr:uid="{C8B0B01F-7E9C-2C4F-9F81-3019B8BEE2FE}"/>
    <hyperlink ref="B31" r:id="rId3" display="https://tools.wmflabs.org/geohack/geohack.php?pagename=Foug%C3%A8res&amp;params=48.3525_N_1.1986_W_type:city(20189)_region:FR-BRE" xr:uid="{5314CC13-37D8-8D44-8CAE-E6E416692A5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"/>
  <sheetViews>
    <sheetView workbookViewId="0">
      <selection activeCell="A18" sqref="A18"/>
    </sheetView>
  </sheetViews>
  <sheetFormatPr defaultColWidth="8.85546875" defaultRowHeight="15" x14ac:dyDescent="0.25"/>
  <cols>
    <col min="1" max="1" width="106.28515625" style="14" customWidth="1"/>
  </cols>
  <sheetData>
    <row r="1" spans="1:1" x14ac:dyDescent="0.25">
      <c r="A1" s="14" t="s">
        <v>112</v>
      </c>
    </row>
    <row r="2" spans="1:1" x14ac:dyDescent="0.25">
      <c r="A2" s="63" t="s">
        <v>48</v>
      </c>
    </row>
    <row r="3" spans="1:1" x14ac:dyDescent="0.25">
      <c r="A3" s="17"/>
    </row>
    <row r="4" spans="1:1" x14ac:dyDescent="0.25">
      <c r="A4" s="18" t="s">
        <v>35</v>
      </c>
    </row>
    <row r="5" spans="1:1" x14ac:dyDescent="0.25">
      <c r="A5" s="93" t="s">
        <v>54</v>
      </c>
    </row>
    <row r="6" spans="1:1" ht="30" x14ac:dyDescent="0.25">
      <c r="A6" s="14" t="s">
        <v>111</v>
      </c>
    </row>
    <row r="7" spans="1:1" x14ac:dyDescent="0.25">
      <c r="A7" s="97"/>
    </row>
    <row r="8" spans="1:1" x14ac:dyDescent="0.25">
      <c r="A8" s="18" t="s">
        <v>36</v>
      </c>
    </row>
    <row r="9" spans="1:1" x14ac:dyDescent="0.25">
      <c r="A9" s="62" t="s">
        <v>46</v>
      </c>
    </row>
    <row r="10" spans="1:1" x14ac:dyDescent="0.25">
      <c r="A10" s="62" t="s">
        <v>110</v>
      </c>
    </row>
    <row r="11" spans="1:1" x14ac:dyDescent="0.25">
      <c r="A11" s="26" t="s">
        <v>109</v>
      </c>
    </row>
    <row r="12" spans="1:1" x14ac:dyDescent="0.25">
      <c r="A12" s="17" t="s">
        <v>60</v>
      </c>
    </row>
    <row r="13" spans="1:1" x14ac:dyDescent="0.25">
      <c r="A13" s="25" t="s">
        <v>37</v>
      </c>
    </row>
    <row r="14" spans="1:1" x14ac:dyDescent="0.25">
      <c r="A14" s="17"/>
    </row>
    <row r="15" spans="1:1" x14ac:dyDescent="0.25">
      <c r="A15" s="18" t="s">
        <v>27</v>
      </c>
    </row>
    <row r="16" spans="1:1" ht="45" x14ac:dyDescent="0.25">
      <c r="A16" s="17" t="s">
        <v>38</v>
      </c>
    </row>
    <row r="18" spans="1:1" x14ac:dyDescent="0.25">
      <c r="A18" s="22" t="s">
        <v>39</v>
      </c>
    </row>
    <row r="19" spans="1:1" x14ac:dyDescent="0.25">
      <c r="A19" s="14" t="s">
        <v>49</v>
      </c>
    </row>
    <row r="20" spans="1:1" x14ac:dyDescent="0.25">
      <c r="A20" s="14" t="s">
        <v>50</v>
      </c>
    </row>
  </sheetData>
  <sheetProtection sheet="1" objects="1" scenarios="1"/>
  <phoneticPr fontId="0" type="noConversion"/>
  <hyperlinks>
    <hyperlink ref="A13" r:id="rId1" xr:uid="{00000000-0004-0000-03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7E8A2-F616-B942-860C-BCD4BA6A0298}">
  <sheetPr>
    <pageSetUpPr fitToPage="1"/>
  </sheetPr>
  <dimension ref="A4:L41"/>
  <sheetViews>
    <sheetView topLeftCell="A3" workbookViewId="0">
      <selection activeCell="E29" sqref="E29"/>
    </sheetView>
  </sheetViews>
  <sheetFormatPr defaultColWidth="9.140625" defaultRowHeight="15" x14ac:dyDescent="0.25"/>
  <cols>
    <col min="1" max="1" width="15.140625" style="33" bestFit="1" customWidth="1"/>
    <col min="2" max="2" width="5.85546875" style="33" bestFit="1" customWidth="1"/>
    <col min="3" max="3" width="5.7109375" style="33" bestFit="1" customWidth="1"/>
    <col min="4" max="4" width="5.7109375" style="33" customWidth="1"/>
    <col min="5" max="5" width="5.7109375" style="33" bestFit="1" customWidth="1"/>
    <col min="6" max="6" width="6.7109375" style="33" bestFit="1" customWidth="1"/>
    <col min="7" max="7" width="10.28515625" style="33" bestFit="1" customWidth="1"/>
    <col min="8" max="12" width="16.85546875" style="33" customWidth="1"/>
    <col min="13" max="16384" width="9.140625" style="33"/>
  </cols>
  <sheetData>
    <row r="4" spans="1:8" ht="15" customHeight="1" x14ac:dyDescent="0.25">
      <c r="A4" s="113"/>
      <c r="B4" s="113"/>
      <c r="C4" s="29"/>
      <c r="D4" s="29"/>
      <c r="E4" s="29"/>
      <c r="F4" s="29"/>
    </row>
    <row r="5" spans="1:8" ht="15.95" customHeight="1" x14ac:dyDescent="0.25">
      <c r="A5" s="126" t="s">
        <v>0</v>
      </c>
      <c r="B5" s="120" t="s">
        <v>2</v>
      </c>
      <c r="C5" s="64" t="s">
        <v>105</v>
      </c>
      <c r="D5" s="64"/>
      <c r="E5" s="64" t="s">
        <v>56</v>
      </c>
      <c r="F5" s="64"/>
    </row>
    <row r="6" spans="1:8" s="41" customFormat="1" ht="15" customHeight="1" x14ac:dyDescent="0.25">
      <c r="A6" s="52"/>
      <c r="B6" s="52" t="s">
        <v>1</v>
      </c>
      <c r="C6" s="76" t="s">
        <v>106</v>
      </c>
      <c r="D6" s="76"/>
      <c r="E6" s="76" t="s">
        <v>106</v>
      </c>
      <c r="F6" s="65" t="s">
        <v>84</v>
      </c>
      <c r="G6" s="41" t="s">
        <v>107</v>
      </c>
      <c r="H6" s="41" t="s">
        <v>108</v>
      </c>
    </row>
    <row r="7" spans="1:8" ht="15" customHeight="1" x14ac:dyDescent="0.25">
      <c r="A7" s="110" t="str">
        <f>Planner!B5</f>
        <v>Louisville</v>
      </c>
      <c r="B7" s="119">
        <f>Planner!D5</f>
        <v>0</v>
      </c>
      <c r="C7" s="125">
        <f>IF(B7&lt;=$H$37,(B7/$I$37)/24,IF(B7&lt;=$H$38,$J$37+(((B7-$H$37)/$I$38)/24),IF(B7&lt;=$H$39,$J$38+(((B7-$H$38)/$I$39)/24),IF(B7&lt;=$H$40,$J$39+(((B7-$H$39)/$I$40)/24),IF(B7&lt;=$H$41,$J$40+(((B7-$H$40)/$I$41)/24),"?")))))</f>
        <v>0</v>
      </c>
      <c r="D7" s="125"/>
      <c r="E7" s="111">
        <f>1/24</f>
        <v>4.1666666666666664E-2</v>
      </c>
      <c r="F7" s="127">
        <f>E7*24</f>
        <v>1</v>
      </c>
      <c r="G7" s="82">
        <f t="shared" ref="G7:G29" si="0">FLOOR(E7,1)</f>
        <v>0</v>
      </c>
      <c r="H7" s="47">
        <f>(E7-G7)*24</f>
        <v>1</v>
      </c>
    </row>
    <row r="8" spans="1:8" ht="15" customHeight="1" x14ac:dyDescent="0.25">
      <c r="A8" s="119"/>
      <c r="B8" s="119"/>
      <c r="C8" s="125"/>
      <c r="D8" s="125"/>
      <c r="E8" s="111"/>
      <c r="F8" s="127"/>
      <c r="G8" s="82">
        <f t="shared" si="0"/>
        <v>0</v>
      </c>
      <c r="H8" s="47">
        <f t="shared" ref="H8:H29" si="1">(E8-G8)*24</f>
        <v>0</v>
      </c>
    </row>
    <row r="9" spans="1:8" ht="15" customHeight="1" x14ac:dyDescent="0.25">
      <c r="A9" s="110" t="str">
        <f>Planner!B7</f>
        <v>Platteville</v>
      </c>
      <c r="B9" s="119">
        <f>Planner!D7</f>
        <v>58.258108000000007</v>
      </c>
      <c r="C9" s="125">
        <f>IF(B9&lt;=$H$37,(B9/$I$37)/24,IF(B9&lt;=$H$38,$J$37+(((B9-$H$37)/$I$38)/24),IF(B9&lt;=$H$39,$J$38+(((B9-$H$38)/$I$39)/24),IF(B9&lt;=$H$40,$J$39+(((B9-$H$39)/$I$40)/24),IF(B9&lt;=$H$41,$J$40+(((B9-$H$40)/$I$41)/24),"?")))))</f>
        <v>7.1394740196078443E-2</v>
      </c>
      <c r="D9" s="125"/>
      <c r="E9" s="111">
        <f>IF(B9&lt;=$H$37,(B9/$K$37)/24,IF(B9&lt;=$H$38,$L$37+(((B9-$H$37)/$K$38)/24),IF(B9&lt;=$H$39,$L$38+(((B9-$H$38)/$K$39)/24),IF(B9&lt;=$H$40,$L$39+(((B9-$H$39)/$K$40)/24),IF(B9&lt;=$H$41,$L$40+(((B9-$H$40)/$K$41)/24),"?")))))</f>
        <v>0.1618280777777778</v>
      </c>
      <c r="F9" s="127">
        <f>E9*24</f>
        <v>3.8838738666666672</v>
      </c>
      <c r="G9" s="82">
        <f t="shared" si="0"/>
        <v>0</v>
      </c>
      <c r="H9" s="47">
        <f t="shared" si="1"/>
        <v>3.8838738666666672</v>
      </c>
    </row>
    <row r="10" spans="1:8" ht="15" customHeight="1" x14ac:dyDescent="0.25">
      <c r="A10" s="119"/>
      <c r="B10" s="119"/>
      <c r="C10" s="125"/>
      <c r="D10" s="125"/>
      <c r="E10" s="111"/>
      <c r="F10" s="127"/>
      <c r="G10" s="82">
        <f t="shared" si="0"/>
        <v>0</v>
      </c>
      <c r="H10" s="47">
        <f t="shared" si="1"/>
        <v>0</v>
      </c>
    </row>
    <row r="11" spans="1:8" ht="15" customHeight="1" x14ac:dyDescent="0.25">
      <c r="A11" s="110" t="str">
        <f>Planner!B9</f>
        <v>Carter Lake</v>
      </c>
      <c r="B11" s="119">
        <f>Planner!D9</f>
        <v>107.82577999999999</v>
      </c>
      <c r="C11" s="125">
        <f>IF(B11&lt;=$H$37,(B11/$I$37)/24,IF(B11&lt;=$H$38,$J$37+(((B11-$H$37)/$I$38)/24),IF(B11&lt;=$H$39,$J$38+(((B11-$H$38)/$I$39)/24),IF(B11&lt;=$H$40,$J$39+(((B11-$H$39)/$I$40)/24),IF(B11&lt;=$H$41,$J$40+(((B11-$H$40)/$I$41)/24),"?")))))</f>
        <v>0.1321394362745098</v>
      </c>
      <c r="D11" s="125"/>
      <c r="E11" s="111">
        <f>IF(B11&lt;=$H$37,(B11/$K$37)/24,IF(B11&lt;=$H$38,$L$37+(((B11-$H$37)/$K$38)/24),IF(B11&lt;=$H$39,$L$38+(((B11-$H$38)/$K$39)/24),IF(B11&lt;=$H$40,$L$39+(((B11-$H$39)/$K$40)/24),IF(B11&lt;=$H$41,$L$40+(((B11-$H$40)/$K$41)/24),"?")))))</f>
        <v>0.29951605555555555</v>
      </c>
      <c r="F11" s="127">
        <f>E11*24</f>
        <v>7.1883853333333327</v>
      </c>
      <c r="G11" s="82">
        <f t="shared" si="0"/>
        <v>0</v>
      </c>
      <c r="H11" s="47">
        <f t="shared" si="1"/>
        <v>7.1883853333333327</v>
      </c>
    </row>
    <row r="12" spans="1:8" ht="15" customHeight="1" x14ac:dyDescent="0.25">
      <c r="A12" s="119"/>
      <c r="B12" s="119"/>
      <c r="C12" s="125"/>
      <c r="D12" s="125"/>
      <c r="E12" s="111"/>
      <c r="F12" s="127"/>
      <c r="G12" s="82">
        <f t="shared" si="0"/>
        <v>0</v>
      </c>
      <c r="H12" s="47">
        <f t="shared" si="1"/>
        <v>0</v>
      </c>
    </row>
    <row r="13" spans="1:8" ht="15" customHeight="1" x14ac:dyDescent="0.25">
      <c r="A13" s="110" t="str">
        <f>Planner!B11</f>
        <v>Horsetooth</v>
      </c>
      <c r="B13" s="119">
        <f>Planner!D11</f>
        <v>134.70175800000001</v>
      </c>
      <c r="C13" s="125">
        <f>IF(B13&lt;=$H$37,(B13/$I$37)/24,IF(B13&lt;=$H$38,$J$37+(((B13-$H$37)/$I$38)/24),IF(B13&lt;=$H$39,$J$38+(((B13-$H$38)/$I$39)/24),IF(B13&lt;=$H$40,$J$39+(((B13-$H$39)/$I$40)/24),IF(B13&lt;=$H$41,$J$40+(((B13-$H$40)/$I$41)/24),"?")))))</f>
        <v>0.16507568382352941</v>
      </c>
      <c r="D13" s="125"/>
      <c r="E13" s="111">
        <f>IF(B13&lt;=$H$37,(B13/$K$37)/24,IF(B13&lt;=$H$38,$L$37+(((B13-$H$37)/$K$38)/24),IF(B13&lt;=$H$39,$L$38+(((B13-$H$38)/$K$39)/24),IF(B13&lt;=$H$40,$L$39+(((B13-$H$39)/$K$40)/24),IF(B13&lt;=$H$41,$L$40+(((B13-$H$40)/$K$41)/24),"?")))))</f>
        <v>0.37417155000000002</v>
      </c>
      <c r="F13" s="127">
        <f>E13*24</f>
        <v>8.9801172000000005</v>
      </c>
      <c r="G13" s="82">
        <f t="shared" si="0"/>
        <v>0</v>
      </c>
      <c r="H13" s="47">
        <f t="shared" si="1"/>
        <v>8.9801172000000005</v>
      </c>
    </row>
    <row r="14" spans="1:8" ht="15" customHeight="1" x14ac:dyDescent="0.25">
      <c r="A14" s="119"/>
      <c r="B14" s="119"/>
      <c r="C14" s="125"/>
      <c r="D14" s="125"/>
      <c r="E14" s="111"/>
      <c r="F14" s="127"/>
      <c r="G14" s="82">
        <f t="shared" si="0"/>
        <v>0</v>
      </c>
      <c r="H14" s="47">
        <f t="shared" si="1"/>
        <v>0</v>
      </c>
    </row>
    <row r="15" spans="1:8" ht="15" customHeight="1" x14ac:dyDescent="0.25">
      <c r="A15" s="110" t="str">
        <f>Planner!B13</f>
        <v>Cameron Pass</v>
      </c>
      <c r="B15" s="119">
        <f>Planner!D13</f>
        <v>254.59758799999997</v>
      </c>
      <c r="C15" s="125">
        <f>IF(B15&lt;=$H$37,(B15/$I$37)/24,IF(B15&lt;=$H$38,$J$37+(((B15-$H$37)/$I$38)/24),IF(B15&lt;=$H$39,$J$38+(((B15-$H$38)/$I$39)/24),IF(B15&lt;=$H$40,$J$39+(((B15-$H$39)/$I$40)/24),IF(B15&lt;=$H$41,$J$40+(((B15-$H$40)/$I$41)/24),"?")))))</f>
        <v>0.31618864859068624</v>
      </c>
      <c r="D15" s="125"/>
      <c r="E15" s="111">
        <f>IF(B15&lt;=$H$37,(B15/$K$37)/24,IF(B15&lt;=$H$38,$L$37+(((B15-$H$37)/$K$38)/24),IF(B15&lt;=$H$39,$L$38+(((B15-$H$38)/$K$39)/24),IF(B15&lt;=$H$40,$L$39+(((B15-$H$39)/$K$40)/24),IF(B15&lt;=$H$41,$L$40+(((B15-$H$40)/$K$41)/24),"?")))))</f>
        <v>0.70721552222222217</v>
      </c>
      <c r="F15" s="127">
        <f>E15*24</f>
        <v>16.973172533333333</v>
      </c>
      <c r="G15" s="82">
        <f t="shared" si="0"/>
        <v>0</v>
      </c>
      <c r="H15" s="47">
        <f t="shared" si="1"/>
        <v>16.973172533333333</v>
      </c>
    </row>
    <row r="16" spans="1:8" ht="15" customHeight="1" x14ac:dyDescent="0.25">
      <c r="A16" s="119"/>
      <c r="B16" s="119"/>
      <c r="C16" s="125"/>
      <c r="D16" s="125"/>
      <c r="E16" s="111"/>
      <c r="F16" s="127"/>
      <c r="G16" s="82">
        <f t="shared" si="0"/>
        <v>0</v>
      </c>
      <c r="H16" s="47">
        <f t="shared" si="1"/>
        <v>0</v>
      </c>
    </row>
    <row r="17" spans="1:8" ht="15" customHeight="1" x14ac:dyDescent="0.25">
      <c r="A17" s="110" t="str">
        <f>Planner!B15</f>
        <v>Walden</v>
      </c>
      <c r="B17" s="119">
        <f>Planner!D15</f>
        <v>303.521524</v>
      </c>
      <c r="C17" s="125">
        <f>IF(B17&lt;=$H$37,(B17/$I$37)/24,IF(B17&lt;=$H$38,$J$37+(((B17-$H$37)/$I$38)/24),IF(B17&lt;=$H$39,$J$38+(((B17-$H$38)/$I$39)/24),IF(B17&lt;=$H$40,$J$39+(((B17-$H$39)/$I$40)/24),IF(B17&lt;=$H$41,$J$40+(((B17-$H$40)/$I$41)/24),"?")))))</f>
        <v>0.37989169025735292</v>
      </c>
      <c r="D17" s="125"/>
      <c r="E17" s="111">
        <f>IF(B17&lt;=$H$37,(B17/$K$37)/24,IF(B17&lt;=$H$38,$L$37+(((B17-$H$37)/$K$38)/24),IF(B17&lt;=$H$39,$L$38+(((B17-$H$38)/$K$39)/24),IF(B17&lt;=$H$40,$L$39+(((B17-$H$39)/$K$40)/24),IF(B17&lt;=$H$41,$L$40+(((B17-$H$40)/$K$41)/24),"?")))))</f>
        <v>0.84311534444444447</v>
      </c>
      <c r="F17" s="127">
        <f>E17*24</f>
        <v>20.234768266666666</v>
      </c>
      <c r="G17" s="82">
        <f t="shared" si="0"/>
        <v>0</v>
      </c>
      <c r="H17" s="47">
        <f t="shared" si="1"/>
        <v>20.234768266666666</v>
      </c>
    </row>
    <row r="18" spans="1:8" ht="15" customHeight="1" x14ac:dyDescent="0.25">
      <c r="A18" s="119"/>
      <c r="B18" s="119"/>
      <c r="C18" s="125"/>
      <c r="D18" s="125"/>
      <c r="E18" s="111"/>
      <c r="F18" s="127"/>
      <c r="G18" s="82">
        <f t="shared" si="0"/>
        <v>0</v>
      </c>
      <c r="H18" s="47">
        <f t="shared" si="1"/>
        <v>0</v>
      </c>
    </row>
    <row r="19" spans="1:8" ht="15" customHeight="1" x14ac:dyDescent="0.25">
      <c r="A19" s="110" t="str">
        <f>Planner!B17</f>
        <v>Saratoga</v>
      </c>
      <c r="B19" s="119">
        <f>Planner!D17</f>
        <v>410.05983200000003</v>
      </c>
      <c r="C19" s="125">
        <f>IF(B19&lt;=$H$37,(B19/$I$37)/24,IF(B19&lt;=$H$38,$J$37+(((B19-$H$37)/$I$38)/24),IF(B19&lt;=$H$39,$J$38+(((B19-$H$38)/$I$39)/24),IF(B19&lt;=$H$40,$J$39+(((B19-$H$39)/$I$40)/24),IF(B19&lt;=$H$41,$J$40+(((B19-$H$40)/$I$41)/24),"?")))))</f>
        <v>0.51948669477124199</v>
      </c>
      <c r="D19" s="125"/>
      <c r="E19" s="111">
        <f>IF(B19&lt;=$H$37,(B19/$K$37)/24,IF(B19&lt;=$H$38,$L$37+(((B19-$H$37)/$K$38)/24),IF(B19&lt;=$H$39,$L$38+(((B19-$H$38)/$K$39)/24),IF(B19&lt;=$H$40,$L$39+(((B19-$H$39)/$K$40)/24),IF(B19&lt;=$H$41,$L$40+(((B19-$H$40)/$K$41)/24),"?")))))</f>
        <v>1.1390550888888891</v>
      </c>
      <c r="F19" s="127">
        <f>E19*24</f>
        <v>27.337322133333338</v>
      </c>
      <c r="G19" s="82">
        <f t="shared" si="0"/>
        <v>1</v>
      </c>
      <c r="H19" s="47">
        <f t="shared" si="1"/>
        <v>3.3373221333333376</v>
      </c>
    </row>
    <row r="20" spans="1:8" ht="15" customHeight="1" x14ac:dyDescent="0.25">
      <c r="A20" s="119"/>
      <c r="B20" s="119"/>
      <c r="C20" s="125"/>
      <c r="D20" s="125"/>
      <c r="E20" s="111"/>
      <c r="F20" s="127"/>
      <c r="G20" s="82">
        <f t="shared" si="0"/>
        <v>0</v>
      </c>
      <c r="H20" s="47">
        <f t="shared" si="1"/>
        <v>0</v>
      </c>
    </row>
    <row r="21" spans="1:8" ht="15" customHeight="1" x14ac:dyDescent="0.25">
      <c r="A21" s="110" t="str">
        <f>Planner!B19</f>
        <v>Laramie</v>
      </c>
      <c r="B21" s="119">
        <f>Planner!D19</f>
        <v>530.59939799999995</v>
      </c>
      <c r="C21" s="125">
        <f>IF(B21&lt;=$H$37,(B21/$I$37)/24,IF(B21&lt;=$H$38,$J$37+(((B21-$H$37)/$I$38)/24),IF(B21&lt;=$H$39,$J$38+(((B21-$H$38)/$I$39)/24),IF(B21&lt;=$H$40,$J$39+(((B21-$H$39)/$I$40)/24),IF(B21&lt;=$H$41,$J$40+(((B21-$H$40)/$I$41)/24),"?")))))</f>
        <v>0.68690275866013073</v>
      </c>
      <c r="D21" s="125"/>
      <c r="E21" s="111">
        <f>IF(B21&lt;=$H$37,(B21/$K$37)/24,IF(B21&lt;=$H$38,$L$37+(((B21-$H$37)/$K$38)/24),IF(B21&lt;=$H$39,$L$38+(((B21-$H$38)/$K$39)/24),IF(B21&lt;=$H$40,$L$39+(((B21-$H$39)/$K$40)/24),IF(B21&lt;=$H$41,$L$40+(((B21-$H$40)/$K$41)/24),"?")))))</f>
        <v>1.4738872166666666</v>
      </c>
      <c r="F21" s="127">
        <f>E21*24</f>
        <v>35.373293199999999</v>
      </c>
      <c r="G21" s="82">
        <f t="shared" si="0"/>
        <v>1</v>
      </c>
      <c r="H21" s="47">
        <f t="shared" si="1"/>
        <v>11.373293199999997</v>
      </c>
    </row>
    <row r="22" spans="1:8" ht="15" customHeight="1" x14ac:dyDescent="0.25">
      <c r="A22" s="119"/>
      <c r="B22" s="119"/>
      <c r="C22" s="125"/>
      <c r="D22" s="125"/>
      <c r="E22" s="111"/>
      <c r="F22" s="127"/>
      <c r="G22" s="82">
        <f t="shared" si="0"/>
        <v>0</v>
      </c>
      <c r="H22" s="47">
        <f t="shared" si="1"/>
        <v>0</v>
      </c>
    </row>
    <row r="23" spans="1:8" ht="15" customHeight="1" x14ac:dyDescent="0.25">
      <c r="A23" s="110" t="str">
        <f>Planner!B21</f>
        <v>Walden</v>
      </c>
      <c r="B23" s="119">
        <f>Planner!D21</f>
        <v>632.14875200000006</v>
      </c>
      <c r="C23" s="125">
        <f>IF(B23&lt;=$H$37,(B23/$I$37)/24,IF(B23&lt;=$H$38,$J$37+(((B23-$H$37)/$I$38)/24),IF(B23&lt;=$H$39,$J$38+(((B23-$H$38)/$I$39)/24),IF(B23&lt;=$H$40,$J$39+(((B23-$H$39)/$I$40)/24),IF(B23&lt;=$H$41,$J$40+(((B23-$H$40)/$I$41)/24),"?")))))</f>
        <v>0.8311328884220357</v>
      </c>
      <c r="D23" s="125"/>
      <c r="E23" s="111">
        <f>IF(B23&lt;=$H$37,(B23/$K$37)/24,IF(B23&lt;=$H$38,$L$37+(((B23-$H$37)/$K$38)/24),IF(B23&lt;=$H$39,$L$38+(((B23-$H$38)/$K$39)/24),IF(B23&lt;=$H$40,$L$39+(((B23-$H$39)/$K$40)/24),IF(B23&lt;=$H$41,$L$40+(((B23-$H$40)/$K$41)/24),"?")))))</f>
        <v>1.783881519075954</v>
      </c>
      <c r="F23" s="127">
        <f>E23*24</f>
        <v>42.813156457822899</v>
      </c>
      <c r="G23" s="82">
        <f t="shared" si="0"/>
        <v>1</v>
      </c>
      <c r="H23" s="47">
        <f t="shared" si="1"/>
        <v>18.813156457822899</v>
      </c>
    </row>
    <row r="24" spans="1:8" ht="15" customHeight="1" x14ac:dyDescent="0.25">
      <c r="A24" s="119"/>
      <c r="B24" s="119"/>
      <c r="C24" s="125"/>
      <c r="D24" s="125"/>
      <c r="E24" s="111"/>
      <c r="F24" s="127"/>
      <c r="G24" s="82">
        <f t="shared" si="0"/>
        <v>0</v>
      </c>
      <c r="H24" s="47">
        <f t="shared" si="1"/>
        <v>0</v>
      </c>
    </row>
    <row r="25" spans="1:8" ht="15" customHeight="1" x14ac:dyDescent="0.25">
      <c r="A25" s="110" t="str">
        <f>Planner!B23</f>
        <v>Steamboat Springs</v>
      </c>
      <c r="B25" s="119">
        <f>Planner!D23</f>
        <v>722.432726</v>
      </c>
      <c r="C25" s="125">
        <f>IF(B25&lt;=$H$37,(B25/$I$37)/24,IF(B25&lt;=$H$38,$J$37+(((B25-$H$37)/$I$38)/24),IF(B25&lt;=$H$39,$J$38+(((B25-$H$38)/$I$39)/24),IF(B25&lt;=$H$40,$J$39+(((B25-$H$39)/$I$40)/24),IF(B25&lt;=$H$41,$J$40+(((B25-$H$40)/$I$41)/24),"?")))))</f>
        <v>0.96548404020774992</v>
      </c>
      <c r="D25" s="125"/>
      <c r="E25" s="111">
        <f>IF(B25&lt;=$H$37,(B25/$K$37)/24,IF(B25&lt;=$H$38,$L$37+(((B25-$H$37)/$K$38)/24),IF(B25&lt;=$H$39,$L$38+(((B25-$H$38)/$K$39)/24),IF(B25&lt;=$H$40,$L$39+(((B25-$H$39)/$K$40)/24),IF(B25&lt;=$H$41,$L$40+(((B25-$H$40)/$K$41)/24),"?")))))</f>
        <v>2.1130582997899894</v>
      </c>
      <c r="F25" s="127">
        <f>E25*24</f>
        <v>50.713399194959749</v>
      </c>
      <c r="G25" s="82">
        <f t="shared" si="0"/>
        <v>2</v>
      </c>
      <c r="H25" s="47">
        <f t="shared" si="1"/>
        <v>2.7133991949597451</v>
      </c>
    </row>
    <row r="26" spans="1:8" ht="15" customHeight="1" x14ac:dyDescent="0.25">
      <c r="A26" s="119"/>
      <c r="B26" s="119"/>
      <c r="C26" s="125"/>
      <c r="D26" s="125"/>
      <c r="E26" s="111"/>
      <c r="F26" s="127"/>
      <c r="G26" s="82">
        <f t="shared" si="0"/>
        <v>0</v>
      </c>
      <c r="H26" s="47">
        <f t="shared" si="1"/>
        <v>0</v>
      </c>
    </row>
    <row r="27" spans="1:8" ht="15" customHeight="1" x14ac:dyDescent="0.25">
      <c r="A27" s="110" t="str">
        <f>Planner!B25</f>
        <v>Yampa</v>
      </c>
      <c r="B27" s="119">
        <f>Planner!D25</f>
        <v>767.17237799999998</v>
      </c>
      <c r="C27" s="125">
        <f>IF(B27&lt;=$H$37,(B27/$I$37)/24,IF(B27&lt;=$H$38,$J$37+(((B27-$H$37)/$I$38)/24),IF(B27&lt;=$H$39,$J$38+(((B27-$H$38)/$I$39)/24),IF(B27&lt;=$H$40,$J$39+(((B27-$H$39)/$I$40)/24),IF(B27&lt;=$H$41,$J$40+(((B27-$H$40)/$I$41)/24),"?")))))</f>
        <v>1.0320609033029879</v>
      </c>
      <c r="D27" s="125"/>
      <c r="E27" s="111">
        <f>IF(B27&lt;=$H$37,(B27/$K$37)/24,IF(B27&lt;=$H$38,$L$37+(((B27-$H$37)/$K$38)/24),IF(B27&lt;=$H$39,$L$38+(((B27-$H$38)/$K$39)/24),IF(B27&lt;=$H$40,$L$39+(((B27-$H$39)/$K$40)/24),IF(B27&lt;=$H$41,$L$40+(((B27-$H$40)/$K$41)/24),"?")))))</f>
        <v>2.2761797704468556</v>
      </c>
      <c r="F27" s="127">
        <f>E27*24</f>
        <v>54.628314490724534</v>
      </c>
      <c r="G27" s="82">
        <f t="shared" si="0"/>
        <v>2</v>
      </c>
      <c r="H27" s="47">
        <f t="shared" si="1"/>
        <v>6.6283144907245344</v>
      </c>
    </row>
    <row r="28" spans="1:8" ht="15" customHeight="1" x14ac:dyDescent="0.25">
      <c r="A28" s="119"/>
      <c r="B28" s="119"/>
      <c r="C28" s="125"/>
      <c r="D28" s="125"/>
      <c r="E28" s="111"/>
      <c r="F28" s="127"/>
      <c r="G28" s="82">
        <f t="shared" si="0"/>
        <v>0</v>
      </c>
      <c r="H28" s="47">
        <f t="shared" si="1"/>
        <v>0</v>
      </c>
    </row>
    <row r="29" spans="1:8" ht="15" customHeight="1" x14ac:dyDescent="0.25">
      <c r="A29" s="110" t="str">
        <f>Planner!B27</f>
        <v>Hot Sulphur Springs</v>
      </c>
      <c r="B29" s="119">
        <f>Planner!D27</f>
        <v>863.24997599999995</v>
      </c>
      <c r="C29" s="125">
        <f>IF(B29&lt;=$H$37,(B29/$I$37)/24,IF(B29&lt;=$H$38,$J$37+(((B29-$H$37)/$I$38)/24),IF(B29&lt;=$H$39,$J$38+(((B29-$H$38)/$I$39)/24),IF(B29&lt;=$H$40,$J$39+(((B29-$H$39)/$I$40)/24),IF(B29&lt;=$H$41,$J$40+(((B29-$H$40)/$I$41)/24),"?")))))</f>
        <v>1.1750335193744164</v>
      </c>
      <c r="D29" s="125"/>
      <c r="E29" s="111">
        <f>IF(B29&lt;=$H$37,(B29/$K$37)/24,IF(B29&lt;=$H$38,$L$37+(((B29-$H$37)/$K$38)/24),IF(B29&lt;=$H$39,$L$38+(((B29-$H$38)/$K$39)/24),IF(B29&lt;=$H$40,$L$39+(((B29-$H$39)/$K$40)/24),IF(B29&lt;=$H$41,$L$40+(((B29-$H$40)/$K$41)/24),"?")))))</f>
        <v>2.6264801948430754</v>
      </c>
      <c r="F29" s="127">
        <f>E29*24</f>
        <v>63.035524676233806</v>
      </c>
      <c r="G29" s="82">
        <f t="shared" si="0"/>
        <v>2</v>
      </c>
      <c r="H29" s="47">
        <f t="shared" si="1"/>
        <v>15.035524676233809</v>
      </c>
    </row>
    <row r="30" spans="1:8" ht="15" customHeight="1" x14ac:dyDescent="0.25">
      <c r="A30" s="129"/>
      <c r="B30" s="129"/>
      <c r="C30" s="125"/>
      <c r="D30" s="125"/>
      <c r="E30" s="111"/>
      <c r="F30" s="127"/>
      <c r="G30" s="82">
        <f t="shared" ref="G30:G33" si="2">FLOOR(E30,1)</f>
        <v>0</v>
      </c>
      <c r="H30" s="47">
        <f t="shared" ref="H30:H33" si="3">(E30-G30)*24</f>
        <v>0</v>
      </c>
    </row>
    <row r="31" spans="1:8" ht="15" customHeight="1" x14ac:dyDescent="0.25">
      <c r="A31" s="129" t="str">
        <f>Planner!B29</f>
        <v>Walden</v>
      </c>
      <c r="B31" s="129">
        <f>Planner!D29</f>
        <v>960.77598</v>
      </c>
      <c r="C31" s="125">
        <f>IF(B31&lt;=$H$37,(B31/$I$37)/24,IF(B31&lt;=$H$38,$J$37+(((B31-$H$37)/$I$38)/24),IF(B31&lt;=$H$39,$J$38+(((B31-$H$38)/$I$39)/24),IF(B31&lt;=$H$40,$J$39+(((B31-$H$39)/$I$40)/24),IF(B31&lt;=$H$41,$J$40+(((B31-$H$40)/$I$41)/24),"?")))))</f>
        <v>1.3201615015172736</v>
      </c>
      <c r="D31" s="125"/>
      <c r="E31" s="111">
        <f>IF(B31&lt;=$H$37,(B31/$K$37)/24,IF(B31&lt;=$H$38,$L$37+(((B31-$H$37)/$K$38)/24),IF(B31&lt;=$H$39,$L$38+(((B31-$H$38)/$K$39)/24),IF(B31&lt;=$H$40,$L$39+(((B31-$H$39)/$K$40)/24),IF(B31&lt;=$H$41,$L$40+(((B31-$H$40)/$K$41)/24),"?")))))</f>
        <v>2.9820615301598412</v>
      </c>
      <c r="F31" s="127">
        <f t="shared" ref="F31:F33" si="4">E31*24</f>
        <v>71.569476723836189</v>
      </c>
      <c r="G31" s="82">
        <f t="shared" si="2"/>
        <v>2</v>
      </c>
      <c r="H31" s="47">
        <f t="shared" si="3"/>
        <v>23.569476723836189</v>
      </c>
    </row>
    <row r="32" spans="1:8" ht="15" customHeight="1" x14ac:dyDescent="0.25">
      <c r="A32" s="129"/>
      <c r="B32" s="129"/>
      <c r="C32" s="125"/>
      <c r="D32" s="125"/>
      <c r="E32" s="111"/>
      <c r="F32" s="127"/>
      <c r="G32" s="82">
        <f t="shared" si="2"/>
        <v>0</v>
      </c>
      <c r="H32" s="47">
        <f t="shared" si="3"/>
        <v>0</v>
      </c>
    </row>
    <row r="33" spans="1:12" ht="15" customHeight="1" x14ac:dyDescent="0.25">
      <c r="A33" s="129" t="str">
        <f>Planner!B31</f>
        <v>Louisville</v>
      </c>
      <c r="B33" s="129">
        <f>Planner!D31</f>
        <v>1201.694178</v>
      </c>
      <c r="C33" s="125">
        <f>IF(B33&lt;=$H$37,(B33/$I$37)/24,IF(B33&lt;=$H$38,$J$37+(((B33-$H$37)/$I$38)/24),IF(B33&lt;=$H$39,$J$38+(((B33-$H$38)/$I$39)/24),IF(B33&lt;=$H$40,$J$39+(((B33-$H$39)/$I$40)/24),IF(B33&lt;=$H$41,$J$40+(((B33-$H$40)/$I$41)/24),"?")))))</f>
        <v>1.7017584282572003</v>
      </c>
      <c r="D33" s="125"/>
      <c r="E33" s="111">
        <f>IF(B33&lt;=$H$37,(B33/$K$37)/24,IF(B33&lt;=$H$38,$L$37+(((B33-$H$37)/$K$38)/24),IF(B33&lt;=$H$39,$L$38+(((B33-$H$38)/$K$39)/24),IF(B33&lt;=$H$40,$L$39+(((B33-$H$39)/$K$40)/24),IF(B33&lt;=$H$41,$L$40+(((B33-$H$40)/$K$41)/24),"?")))))</f>
        <v>3.7553829843142825</v>
      </c>
      <c r="F33" s="127">
        <f t="shared" si="4"/>
        <v>90.129191623542781</v>
      </c>
      <c r="G33" s="82">
        <f t="shared" si="2"/>
        <v>3</v>
      </c>
      <c r="H33" s="47">
        <f t="shared" si="3"/>
        <v>18.129191623542781</v>
      </c>
    </row>
    <row r="34" spans="1:12" x14ac:dyDescent="0.25">
      <c r="C34" s="46"/>
      <c r="D34" s="46"/>
      <c r="E34" s="46"/>
      <c r="F34" s="46"/>
      <c r="H34" t="s">
        <v>103</v>
      </c>
    </row>
    <row r="35" spans="1:12" x14ac:dyDescent="0.25">
      <c r="H35" t="s">
        <v>104</v>
      </c>
      <c r="I35" s="118"/>
      <c r="J35" s="118"/>
      <c r="L35"/>
    </row>
    <row r="36" spans="1:12" ht="45" x14ac:dyDescent="0.25">
      <c r="H36" s="121" t="s">
        <v>98</v>
      </c>
      <c r="I36" s="121" t="s">
        <v>99</v>
      </c>
      <c r="J36" s="122" t="s">
        <v>100</v>
      </c>
      <c r="K36" s="121" t="s">
        <v>101</v>
      </c>
      <c r="L36" s="122" t="s">
        <v>102</v>
      </c>
    </row>
    <row r="37" spans="1:12" x14ac:dyDescent="0.25">
      <c r="H37" s="123">
        <v>200</v>
      </c>
      <c r="I37" s="123">
        <v>34</v>
      </c>
      <c r="J37" s="124">
        <f>(H37/I37)/24</f>
        <v>0.24509803921568629</v>
      </c>
      <c r="K37" s="123">
        <v>15</v>
      </c>
      <c r="L37" s="124">
        <f>(H37/K37)/24</f>
        <v>0.55555555555555558</v>
      </c>
    </row>
    <row r="38" spans="1:12" x14ac:dyDescent="0.25">
      <c r="H38" s="123">
        <v>400</v>
      </c>
      <c r="I38" s="123">
        <v>32</v>
      </c>
      <c r="J38" s="124">
        <f>J37+(((H38-H37)/I38)/24)</f>
        <v>0.50551470588235303</v>
      </c>
      <c r="K38" s="123">
        <v>15</v>
      </c>
      <c r="L38" s="124">
        <f>L37+(((H38-H37)/K38)/24)</f>
        <v>1.1111111111111112</v>
      </c>
    </row>
    <row r="39" spans="1:12" x14ac:dyDescent="0.25">
      <c r="H39" s="123">
        <v>600</v>
      </c>
      <c r="I39" s="123">
        <v>30</v>
      </c>
      <c r="J39" s="124">
        <f>J38+(((H39-H38)/I39)/24)</f>
        <v>0.78329248366013082</v>
      </c>
      <c r="K39" s="123">
        <v>15</v>
      </c>
      <c r="L39" s="124">
        <f t="shared" ref="L39:L41" si="5">L38+(((H39-H38)/K39)/24)</f>
        <v>1.6666666666666667</v>
      </c>
    </row>
    <row r="40" spans="1:12" x14ac:dyDescent="0.25">
      <c r="H40" s="123">
        <v>1000</v>
      </c>
      <c r="I40" s="123">
        <v>28</v>
      </c>
      <c r="J40" s="124">
        <f>J39+(((H40-H39)/I40)/24)</f>
        <v>1.3785305788982261</v>
      </c>
      <c r="K40" s="123">
        <v>11.428000000000001</v>
      </c>
      <c r="L40" s="124">
        <f t="shared" si="5"/>
        <v>3.1250729203126824</v>
      </c>
    </row>
    <row r="41" spans="1:12" x14ac:dyDescent="0.25">
      <c r="H41" s="123">
        <v>1300</v>
      </c>
      <c r="I41" s="123">
        <v>26</v>
      </c>
      <c r="J41" s="124">
        <f>J40+(((H41-H40)/I41)/24)</f>
        <v>1.8592998096674569</v>
      </c>
      <c r="K41" s="123">
        <v>13.333</v>
      </c>
      <c r="L41" s="124">
        <f t="shared" si="5"/>
        <v>4.0625963583986344</v>
      </c>
    </row>
  </sheetData>
  <pageMargins left="0.7" right="0.7" top="0.75" bottom="0.75" header="0.3" footer="0.3"/>
  <pageSetup scale="84" orientation="landscape" r:id="rId1"/>
  <headerFooter>
    <oddHeader>&amp;CRiding Plan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"/>
  <sheetViews>
    <sheetView workbookViewId="0">
      <selection activeCell="F16" sqref="F16"/>
    </sheetView>
  </sheetViews>
  <sheetFormatPr defaultColWidth="9.140625" defaultRowHeight="15" x14ac:dyDescent="0.25"/>
  <cols>
    <col min="1" max="1" width="9.140625" style="7" customWidth="1"/>
    <col min="2" max="2" width="16.28515625" style="7" bestFit="1" customWidth="1"/>
    <col min="3" max="3" width="2.7109375" style="7" customWidth="1"/>
    <col min="4" max="4" width="9.140625" style="5" customWidth="1"/>
    <col min="5" max="5" width="16.140625" style="5" bestFit="1" customWidth="1"/>
    <col min="6" max="6" width="16.28515625" style="5" bestFit="1" customWidth="1"/>
    <col min="7" max="7" width="2.7109375" style="5" customWidth="1"/>
    <col min="8" max="8" width="9.140625" style="5" customWidth="1"/>
    <col min="9" max="9" width="11.7109375" style="5" bestFit="1" customWidth="1"/>
    <col min="10" max="10" width="12.7109375" style="5" bestFit="1" customWidth="1"/>
    <col min="11" max="16384" width="9.140625" style="5"/>
  </cols>
  <sheetData>
    <row r="1" spans="1:10" x14ac:dyDescent="0.25">
      <c r="A1" s="11" t="s">
        <v>20</v>
      </c>
      <c r="D1" s="5" t="s">
        <v>21</v>
      </c>
    </row>
    <row r="2" spans="1:10" x14ac:dyDescent="0.25">
      <c r="A2" s="7" t="s">
        <v>7</v>
      </c>
      <c r="B2" s="7" t="s">
        <v>17</v>
      </c>
      <c r="D2" s="7" t="s">
        <v>7</v>
      </c>
      <c r="E2" s="7" t="s">
        <v>18</v>
      </c>
      <c r="F2" s="7" t="s">
        <v>19</v>
      </c>
      <c r="G2" s="7"/>
      <c r="I2" s="13" t="str">
        <f>Planner!P48</f>
        <v>sunrise</v>
      </c>
      <c r="J2" s="13" t="str">
        <f>Planner!R48</f>
        <v>sunset</v>
      </c>
    </row>
    <row r="3" spans="1:10" x14ac:dyDescent="0.25">
      <c r="A3" s="10">
        <f>Planner!C5</f>
        <v>0</v>
      </c>
      <c r="B3" s="8">
        <f>Planner!R5</f>
        <v>44389.208333333336</v>
      </c>
      <c r="C3" s="8"/>
      <c r="D3" s="10">
        <f>Planner!C5</f>
        <v>0</v>
      </c>
      <c r="E3" s="9">
        <f>Planner!T5</f>
        <v>44389.208333333336</v>
      </c>
      <c r="F3" s="9">
        <f>Planner!V5</f>
        <v>44389.25</v>
      </c>
      <c r="G3" s="9"/>
      <c r="H3" s="6">
        <v>0</v>
      </c>
      <c r="I3" s="12">
        <f>Planner!O49+Planner!P49</f>
        <v>44025.238194444442</v>
      </c>
      <c r="J3" s="12">
        <f>Planner!O49+Planner!R49</f>
        <v>44025.853472222225</v>
      </c>
    </row>
    <row r="4" spans="1:10" x14ac:dyDescent="0.25">
      <c r="A4" s="10">
        <f>Planner!C7</f>
        <v>36.200000000000003</v>
      </c>
      <c r="B4" s="9">
        <f>Planner!O7</f>
        <v>44389.316071160792</v>
      </c>
      <c r="C4" s="9"/>
      <c r="D4" s="10">
        <f>Planner!C7</f>
        <v>36.200000000000003</v>
      </c>
      <c r="E4" s="9">
        <f>Planner!T7</f>
        <v>44389.279728073532</v>
      </c>
      <c r="F4" s="9">
        <f>Planner!V7</f>
        <v>44389.370161411112</v>
      </c>
      <c r="G4" s="9"/>
      <c r="H4" s="6">
        <v>800</v>
      </c>
      <c r="I4" s="12">
        <f>I3</f>
        <v>44025.238194444442</v>
      </c>
      <c r="J4" s="12">
        <f>J3</f>
        <v>44025.853472222225</v>
      </c>
    </row>
    <row r="5" spans="1:10" x14ac:dyDescent="0.25">
      <c r="A5" s="10">
        <f>A4</f>
        <v>36.200000000000003</v>
      </c>
      <c r="B5" s="8">
        <f>Planner!R7</f>
        <v>44389.316071160792</v>
      </c>
      <c r="C5" s="8"/>
      <c r="D5" s="10">
        <f>Planner!C9</f>
        <v>67</v>
      </c>
      <c r="E5" s="9">
        <f>Planner!T9</f>
        <v>44389.340472769611</v>
      </c>
      <c r="F5" s="9">
        <f>Planner!V9</f>
        <v>44389.507849388894</v>
      </c>
      <c r="G5" s="9"/>
      <c r="H5" s="6">
        <v>0</v>
      </c>
      <c r="I5" s="12">
        <f>Planner!O50+Planner!P50</f>
        <v>44026.238888888889</v>
      </c>
      <c r="J5" s="12">
        <f>Planner!O50+Planner!R50</f>
        <v>44026.853472222225</v>
      </c>
    </row>
    <row r="6" spans="1:10" x14ac:dyDescent="0.25">
      <c r="A6" s="10">
        <f>Planner!C9</f>
        <v>67</v>
      </c>
      <c r="B6" s="9">
        <f>Planner!O9</f>
        <v>44389.40773759962</v>
      </c>
      <c r="C6" s="9"/>
      <c r="D6" s="10">
        <f>Planner!C11</f>
        <v>83.7</v>
      </c>
      <c r="E6" s="9">
        <f>Planner!T11</f>
        <v>44389.373409017157</v>
      </c>
      <c r="F6" s="9">
        <f>Planner!V11</f>
        <v>44389.582504883336</v>
      </c>
      <c r="G6" s="9"/>
      <c r="H6" s="6">
        <v>800</v>
      </c>
      <c r="I6" s="12">
        <f>I5</f>
        <v>44026.238888888889</v>
      </c>
      <c r="J6" s="12">
        <f>J5</f>
        <v>44026.853472222225</v>
      </c>
    </row>
    <row r="7" spans="1:10" x14ac:dyDescent="0.25">
      <c r="A7" s="10">
        <f>A6</f>
        <v>67</v>
      </c>
      <c r="B7" s="8">
        <f>Planner!R9</f>
        <v>44389.40773759962</v>
      </c>
      <c r="C7" s="8"/>
      <c r="D7" s="10">
        <f>Planner!C13</f>
        <v>158.19999999999999</v>
      </c>
      <c r="E7" s="9">
        <f>Planner!T13</f>
        <v>44389.524521981926</v>
      </c>
      <c r="F7" s="9">
        <f>Planner!V13</f>
        <v>44389.915548855555</v>
      </c>
      <c r="G7" s="9"/>
      <c r="H7" s="6">
        <v>0</v>
      </c>
      <c r="I7" s="12">
        <f>Planner!O51+Planner!P51</f>
        <v>44027.239583333336</v>
      </c>
      <c r="J7" s="12">
        <f>Planner!O51+Planner!R51</f>
        <v>44027.852777777778</v>
      </c>
    </row>
    <row r="8" spans="1:10" x14ac:dyDescent="0.25">
      <c r="A8" s="10">
        <f>Planner!C11</f>
        <v>83.7</v>
      </c>
      <c r="B8" s="9">
        <f>Planner!O11</f>
        <v>44389.45743985704</v>
      </c>
      <c r="C8" s="9"/>
      <c r="D8" s="10">
        <f>Planner!C15</f>
        <v>188.6</v>
      </c>
      <c r="E8" s="9">
        <f>Planner!T15</f>
        <v>44389.588225023595</v>
      </c>
      <c r="F8" s="9">
        <f>Planner!V15</f>
        <v>44390.051448677783</v>
      </c>
      <c r="G8" s="9"/>
      <c r="H8" s="6">
        <v>800</v>
      </c>
      <c r="I8" s="12">
        <f>I7</f>
        <v>44027.239583333336</v>
      </c>
      <c r="J8" s="12">
        <f>J7</f>
        <v>44027.852777777778</v>
      </c>
    </row>
    <row r="9" spans="1:10" x14ac:dyDescent="0.25">
      <c r="A9" s="10">
        <f>A8</f>
        <v>83.7</v>
      </c>
      <c r="B9" s="8">
        <f>Planner!R11</f>
        <v>44389.45743985704</v>
      </c>
      <c r="C9" s="8"/>
      <c r="D9" s="10">
        <f>Planner!C17</f>
        <v>254.8</v>
      </c>
      <c r="E9" s="9">
        <f>Planner!T17</f>
        <v>44389.727820028107</v>
      </c>
      <c r="F9" s="9">
        <f>Planner!V17</f>
        <v>44390.347388422226</v>
      </c>
      <c r="G9" s="9"/>
      <c r="H9" s="6">
        <v>0</v>
      </c>
      <c r="I9" s="12">
        <f>Planner!O52+Planner!P52</f>
        <v>44028.239583333336</v>
      </c>
      <c r="J9" s="12">
        <f>Planner!O52+Planner!R52</f>
        <v>44028.852777777778</v>
      </c>
    </row>
    <row r="10" spans="1:10" x14ac:dyDescent="0.25">
      <c r="A10" s="10">
        <f>Planner!C13</f>
        <v>158.19999999999999</v>
      </c>
      <c r="B10" s="9">
        <f>Planner!O13</f>
        <v>44389.679165496418</v>
      </c>
      <c r="C10" s="9"/>
      <c r="D10" s="10">
        <f>Planner!C19</f>
        <v>329.7</v>
      </c>
      <c r="E10" s="9">
        <f>Planner!T19</f>
        <v>44389.895236091994</v>
      </c>
      <c r="F10" s="9">
        <f>Planner!V19</f>
        <v>44390.682220549999</v>
      </c>
      <c r="G10" s="9"/>
      <c r="H10" s="6">
        <v>800</v>
      </c>
      <c r="I10" s="12">
        <f>I9</f>
        <v>44028.239583333336</v>
      </c>
      <c r="J10" s="12">
        <f>J9</f>
        <v>44028.852777777778</v>
      </c>
    </row>
    <row r="11" spans="1:10" x14ac:dyDescent="0.25">
      <c r="A11" s="10">
        <f>A10</f>
        <v>158.19999999999999</v>
      </c>
      <c r="B11" s="8">
        <f>Planner!R13</f>
        <v>44389.679165496418</v>
      </c>
      <c r="C11" s="8"/>
      <c r="D11" s="10">
        <f>Planner!C21</f>
        <v>392.8</v>
      </c>
      <c r="E11" s="9">
        <f>Planner!T21</f>
        <v>44390.039466221759</v>
      </c>
      <c r="F11" s="9">
        <f>Planner!V21</f>
        <v>44390.992214852413</v>
      </c>
      <c r="G11" s="9"/>
    </row>
    <row r="12" spans="1:10" x14ac:dyDescent="0.25">
      <c r="A12" s="10">
        <f>Planner!C15</f>
        <v>188.6</v>
      </c>
      <c r="B12" s="9">
        <f>Planner!O15</f>
        <v>44389.769641462015</v>
      </c>
      <c r="C12" s="9"/>
      <c r="D12" s="10">
        <f>Planner!C23</f>
        <v>448.9</v>
      </c>
      <c r="E12" s="9">
        <f>Planner!T23</f>
        <v>44390.173817373543</v>
      </c>
      <c r="F12" s="9">
        <f>Planner!V23</f>
        <v>44391.321391633122</v>
      </c>
      <c r="G12" s="9"/>
    </row>
    <row r="13" spans="1:10" x14ac:dyDescent="0.25">
      <c r="A13" s="10">
        <f>A12</f>
        <v>188.6</v>
      </c>
      <c r="B13" s="8">
        <f>Planner!R15</f>
        <v>44389.769641462015</v>
      </c>
      <c r="C13" s="8"/>
      <c r="D13" s="10">
        <f>Planner!C25</f>
        <v>476.7</v>
      </c>
      <c r="E13" s="9">
        <f>Planner!T25</f>
        <v>44390.240394236636</v>
      </c>
      <c r="F13" s="9">
        <f>Planner!V25</f>
        <v>44391.48451310378</v>
      </c>
      <c r="G13" s="9"/>
    </row>
    <row r="14" spans="1:10" x14ac:dyDescent="0.25">
      <c r="A14" s="10">
        <f>Planner!C17</f>
        <v>254.8</v>
      </c>
      <c r="B14" s="9">
        <f>Planner!O17</f>
        <v>44389.966664781838</v>
      </c>
      <c r="C14" s="9"/>
      <c r="D14" s="10">
        <f>Planner!C27</f>
        <v>536.4</v>
      </c>
      <c r="E14" s="9">
        <f>Planner!T27</f>
        <v>44390.383366852708</v>
      </c>
      <c r="F14" s="9">
        <f>Planner!V27</f>
        <v>44391.834813528178</v>
      </c>
      <c r="G14" s="9"/>
      <c r="J14" s="3" t="s">
        <v>6</v>
      </c>
    </row>
    <row r="15" spans="1:10" x14ac:dyDescent="0.25">
      <c r="A15" s="10">
        <f>A14</f>
        <v>254.8</v>
      </c>
      <c r="B15" s="8">
        <f>Planner!R17</f>
        <v>44389.966664781838</v>
      </c>
      <c r="C15" s="8"/>
      <c r="D15" s="10">
        <f>Planner!C29</f>
        <v>597</v>
      </c>
      <c r="E15" s="9">
        <f>Planner!T29</f>
        <v>44390.528494834856</v>
      </c>
      <c r="F15" s="9">
        <f>Planner!V29</f>
        <v>44392.190394863494</v>
      </c>
      <c r="G15" s="9"/>
      <c r="J15" s="3">
        <f>12*5280*2.54/100000</f>
        <v>1.6093439999999999</v>
      </c>
    </row>
    <row r="16" spans="1:10" x14ac:dyDescent="0.25">
      <c r="A16" s="10">
        <f>Planner!C19</f>
        <v>329.7</v>
      </c>
      <c r="B16" s="9">
        <f>Planner!O19</f>
        <v>44390.189580894446</v>
      </c>
      <c r="C16" s="9"/>
      <c r="D16" s="10">
        <f>Planner!C31</f>
        <v>746.7</v>
      </c>
      <c r="E16" s="9">
        <f>Planner!T31</f>
        <v>44390.910091761594</v>
      </c>
      <c r="F16" s="9">
        <f>Planner!V31</f>
        <v>44392.963716317652</v>
      </c>
      <c r="G16" s="9"/>
    </row>
    <row r="17" spans="1:7" x14ac:dyDescent="0.25">
      <c r="A17" s="10">
        <f>A16</f>
        <v>329.7</v>
      </c>
      <c r="B17" s="8">
        <f>Planner!R19</f>
        <v>44390.189580894446</v>
      </c>
      <c r="C17" s="8"/>
      <c r="D17" s="10">
        <f>Planner!C33</f>
        <v>746.7</v>
      </c>
      <c r="E17" s="9">
        <f>Planner!T33</f>
        <v>44389.208333333336</v>
      </c>
      <c r="F17" s="9">
        <f>Planner!V33</f>
        <v>44389.208333333336</v>
      </c>
      <c r="G17" s="9"/>
    </row>
    <row r="18" spans="1:7" x14ac:dyDescent="0.25">
      <c r="A18" s="10">
        <f>Planner!C21</f>
        <v>392.8</v>
      </c>
      <c r="B18" s="9">
        <f>Planner!O21</f>
        <v>44390.377378046724</v>
      </c>
      <c r="C18" s="9"/>
      <c r="D18" s="10">
        <f>Planner!C35</f>
        <v>746.7</v>
      </c>
      <c r="E18" s="9">
        <f>Planner!T35</f>
        <v>44389.208333333336</v>
      </c>
      <c r="F18" s="9">
        <f>Planner!V35</f>
        <v>44389.208333333336</v>
      </c>
    </row>
    <row r="19" spans="1:7" x14ac:dyDescent="0.25">
      <c r="A19" s="10">
        <f>A18</f>
        <v>392.8</v>
      </c>
      <c r="B19" s="8">
        <f>Planner!R21</f>
        <v>44390.377378046724</v>
      </c>
      <c r="C19" s="8"/>
      <c r="D19" s="10">
        <f>Planner!C37</f>
        <v>746.7</v>
      </c>
      <c r="E19" s="9">
        <f>Planner!T37</f>
        <v>44389.208333333336</v>
      </c>
      <c r="F19" s="9">
        <f>Planner!V37</f>
        <v>44389.208333333336</v>
      </c>
    </row>
    <row r="20" spans="1:7" x14ac:dyDescent="0.25">
      <c r="A20" s="10">
        <f>Planner!C23</f>
        <v>448.9</v>
      </c>
      <c r="B20" s="9">
        <f>Planner!O23</f>
        <v>44390.544341917448</v>
      </c>
      <c r="C20" s="9"/>
      <c r="D20" s="10">
        <f>Planner!C39</f>
        <v>746.7</v>
      </c>
      <c r="E20" s="9">
        <f>Planner!T39</f>
        <v>44389.208333333336</v>
      </c>
      <c r="F20" s="9">
        <f>Planner!V39</f>
        <v>44389.208333333336</v>
      </c>
    </row>
    <row r="21" spans="1:7" x14ac:dyDescent="0.25">
      <c r="A21" s="10">
        <f>A20</f>
        <v>448.9</v>
      </c>
      <c r="B21" s="8">
        <f>Planner!R23</f>
        <v>44390.544341917448</v>
      </c>
      <c r="C21" s="8"/>
      <c r="D21" s="10">
        <f>Planner!C41</f>
        <v>746.7</v>
      </c>
      <c r="E21" s="9">
        <f>Planner!T41</f>
        <v>44389.208333333336</v>
      </c>
      <c r="F21" s="9">
        <f>Planner!V41</f>
        <v>44389.208333333336</v>
      </c>
    </row>
    <row r="22" spans="1:7" x14ac:dyDescent="0.25">
      <c r="A22" s="10">
        <f>Planner!C25</f>
        <v>476.7</v>
      </c>
      <c r="B22" s="9">
        <f>Planner!O25</f>
        <v>44390.62707980704</v>
      </c>
      <c r="C22" s="9"/>
      <c r="D22" s="10">
        <f>Planner!C43</f>
        <v>746.7</v>
      </c>
      <c r="E22" s="9">
        <f>Planner!T43</f>
        <v>44389.208333333336</v>
      </c>
      <c r="F22" s="9">
        <f>Planner!V43</f>
        <v>44389.208333333336</v>
      </c>
    </row>
    <row r="23" spans="1:7" x14ac:dyDescent="0.25">
      <c r="A23" s="10">
        <f>A22</f>
        <v>476.7</v>
      </c>
      <c r="B23" s="8">
        <f>Planner!R25</f>
        <v>44390.62707980704</v>
      </c>
      <c r="C23" s="8"/>
    </row>
    <row r="24" spans="1:7" x14ac:dyDescent="0.25">
      <c r="A24" s="10">
        <f>Planner!C27</f>
        <v>536.4</v>
      </c>
      <c r="B24" s="9">
        <f>Planner!O27</f>
        <v>44390.80475793685</v>
      </c>
      <c r="C24" s="9"/>
    </row>
    <row r="25" spans="1:7" x14ac:dyDescent="0.25">
      <c r="A25" s="10">
        <f>A24</f>
        <v>536.4</v>
      </c>
      <c r="B25" s="8">
        <f>Planner!R27</f>
        <v>44390.80475793685</v>
      </c>
      <c r="C25" s="8"/>
    </row>
    <row r="26" spans="1:7" x14ac:dyDescent="0.25">
      <c r="A26" s="10">
        <f>Planner!C29</f>
        <v>597</v>
      </c>
      <c r="B26" s="9">
        <f>Planner!O29</f>
        <v>44390.985114631432</v>
      </c>
      <c r="C26" s="9"/>
    </row>
    <row r="27" spans="1:7" x14ac:dyDescent="0.25">
      <c r="A27" s="10">
        <f>A26</f>
        <v>597</v>
      </c>
      <c r="B27" s="8">
        <f>Planner!R29</f>
        <v>44390.985114631432</v>
      </c>
      <c r="C27" s="8"/>
    </row>
    <row r="28" spans="1:7" x14ac:dyDescent="0.25">
      <c r="A28" s="10">
        <f>Planner!C31</f>
        <v>746.7</v>
      </c>
      <c r="B28" s="9">
        <f>Planner!O31</f>
        <v>44391.430649238348</v>
      </c>
      <c r="C28" s="9"/>
    </row>
    <row r="29" spans="1:7" x14ac:dyDescent="0.25">
      <c r="A29" s="10">
        <f>A28</f>
        <v>746.7</v>
      </c>
      <c r="B29" s="8">
        <f>Planner!R31</f>
        <v>0</v>
      </c>
      <c r="C29" s="8"/>
    </row>
    <row r="30" spans="1:7" x14ac:dyDescent="0.25">
      <c r="A30" s="10">
        <f>Planner!C33</f>
        <v>746.7</v>
      </c>
      <c r="B30" s="9">
        <f>Planner!O33</f>
        <v>0</v>
      </c>
      <c r="C30" s="9"/>
    </row>
    <row r="31" spans="1:7" x14ac:dyDescent="0.25">
      <c r="A31" s="10">
        <f>A30</f>
        <v>746.7</v>
      </c>
      <c r="B31" s="8">
        <f>Planner!R33</f>
        <v>0</v>
      </c>
      <c r="C31" s="8"/>
    </row>
    <row r="32" spans="1:7" x14ac:dyDescent="0.25">
      <c r="A32" s="10">
        <f>Planner!C35</f>
        <v>746.7</v>
      </c>
      <c r="B32" s="9">
        <f>Planner!O35</f>
        <v>0</v>
      </c>
      <c r="C32" s="9"/>
    </row>
    <row r="33" spans="1:4" x14ac:dyDescent="0.25">
      <c r="A33" s="10">
        <f>A32</f>
        <v>746.7</v>
      </c>
      <c r="B33" s="8">
        <f>Planner!R35</f>
        <v>0</v>
      </c>
      <c r="C33" s="8"/>
      <c r="D33" s="6"/>
    </row>
    <row r="34" spans="1:4" x14ac:dyDescent="0.25">
      <c r="A34" s="10">
        <f>Planner!C37</f>
        <v>746.7</v>
      </c>
      <c r="B34" s="9">
        <f>Planner!O37</f>
        <v>0</v>
      </c>
      <c r="C34" s="9"/>
    </row>
    <row r="35" spans="1:4" x14ac:dyDescent="0.25">
      <c r="A35" s="10">
        <f>A34</f>
        <v>746.7</v>
      </c>
      <c r="B35" s="8">
        <f>Planner!R37</f>
        <v>0</v>
      </c>
    </row>
    <row r="36" spans="1:4" x14ac:dyDescent="0.25">
      <c r="A36" s="10">
        <f>Planner!C39</f>
        <v>746.7</v>
      </c>
      <c r="B36" s="9">
        <f>Planner!O39</f>
        <v>0</v>
      </c>
    </row>
    <row r="37" spans="1:4" x14ac:dyDescent="0.25">
      <c r="A37" s="10">
        <f>A36</f>
        <v>746.7</v>
      </c>
      <c r="B37" s="9">
        <f>Planner!R39</f>
        <v>0</v>
      </c>
    </row>
    <row r="38" spans="1:4" x14ac:dyDescent="0.25">
      <c r="A38" s="10">
        <f>Planner!C41</f>
        <v>746.7</v>
      </c>
      <c r="B38" s="9">
        <f>Planner!O41</f>
        <v>0</v>
      </c>
    </row>
    <row r="39" spans="1:4" x14ac:dyDescent="0.25">
      <c r="A39" s="10">
        <f>A38</f>
        <v>746.7</v>
      </c>
      <c r="B39" s="9">
        <f>Planner!R41</f>
        <v>0</v>
      </c>
    </row>
    <row r="40" spans="1:4" x14ac:dyDescent="0.25">
      <c r="A40" s="10">
        <f>Planner!C43</f>
        <v>746.7</v>
      </c>
      <c r="B40" s="9">
        <f>Planner!O43</f>
        <v>0</v>
      </c>
    </row>
  </sheetData>
  <sheetProtection sheet="1" objects="1" scenarios="1"/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Planner</vt:lpstr>
      <vt:lpstr>Top Tube</vt:lpstr>
      <vt:lpstr>Rider Instructions</vt:lpstr>
      <vt:lpstr>Organizer Instruction</vt:lpstr>
      <vt:lpstr>CtrlTiming</vt:lpstr>
      <vt:lpstr>Plan Chart Data</vt:lpstr>
      <vt:lpstr>Plan Chart</vt:lpstr>
      <vt:lpstr>CtrlTiming!Print_Area</vt:lpstr>
      <vt:lpstr>Planner!Print_Area</vt:lpstr>
    </vt:vector>
  </TitlesOfParts>
  <Company>Seagate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Feldman</dc:creator>
  <cp:lastModifiedBy>Aimee Argo</cp:lastModifiedBy>
  <cp:lastPrinted>2019-08-12T14:51:33Z</cp:lastPrinted>
  <dcterms:created xsi:type="dcterms:W3CDTF">2009-03-23T14:25:14Z</dcterms:created>
  <dcterms:modified xsi:type="dcterms:W3CDTF">2021-06-29T03:21:46Z</dcterms:modified>
</cp:coreProperties>
</file>